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480" windowHeight="9405"/>
  </bookViews>
  <sheets>
    <sheet name="Tabelle1" sheetId="1" r:id="rId1"/>
  </sheets>
  <definedNames>
    <definedName name="_xlnm.Print_Area" localSheetId="0">Tabelle1!$A$1:$AF$33</definedName>
  </definedNames>
  <calcPr calcId="145621"/>
</workbook>
</file>

<file path=xl/calcChain.xml><?xml version="1.0" encoding="utf-8"?>
<calcChain xmlns="http://schemas.openxmlformats.org/spreadsheetml/2006/main">
  <c r="S13" i="1" l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AF5" i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S4" i="1"/>
  <c r="S5" i="1" s="1"/>
  <c r="S6" i="1" s="1"/>
  <c r="S7" i="1" s="1"/>
  <c r="S8" i="1" s="1"/>
  <c r="S9" i="1" s="1"/>
  <c r="S10" i="1" s="1"/>
  <c r="S11" i="1" s="1"/>
  <c r="S12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C4" i="1"/>
  <c r="M4" i="1" s="1"/>
  <c r="AD2" i="1"/>
  <c r="AD4" i="1" s="1"/>
  <c r="C5" i="1" l="1"/>
  <c r="C6" i="1" s="1"/>
  <c r="AE4" i="1"/>
  <c r="N4" i="1" s="1"/>
  <c r="AD5" i="1"/>
  <c r="M5" i="1"/>
  <c r="P5" i="1"/>
  <c r="R5" i="1" s="1"/>
  <c r="T5" i="1" s="1"/>
  <c r="W4" i="1"/>
  <c r="E4" i="1"/>
  <c r="G4" i="1" s="1"/>
  <c r="P4" i="1"/>
  <c r="R4" i="1" s="1"/>
  <c r="T4" i="1" s="1"/>
  <c r="X4" i="1" l="1"/>
  <c r="Y4" i="1" s="1"/>
  <c r="O4" i="1"/>
  <c r="W5" i="1"/>
  <c r="U5" i="1"/>
  <c r="AE5" i="1"/>
  <c r="N5" i="1" s="1"/>
  <c r="X5" i="1" s="1"/>
  <c r="C7" i="1"/>
  <c r="M6" i="1"/>
  <c r="P6" i="1"/>
  <c r="R6" i="1" s="1"/>
  <c r="T6" i="1" s="1"/>
  <c r="U4" i="1"/>
  <c r="V4" i="1" s="1"/>
  <c r="H4" i="1"/>
  <c r="I4" i="1" s="1"/>
  <c r="E5" i="1"/>
  <c r="G5" i="1" s="1"/>
  <c r="H5" i="1" s="1"/>
  <c r="I5" i="1" s="1"/>
  <c r="AD6" i="1"/>
  <c r="AC5" i="1"/>
  <c r="AC4" i="1"/>
  <c r="V5" i="1" l="1"/>
  <c r="E6" i="1"/>
  <c r="G6" i="1" s="1"/>
  <c r="W6" i="1"/>
  <c r="U6" i="1"/>
  <c r="O5" i="1"/>
  <c r="AD7" i="1"/>
  <c r="AE6" i="1"/>
  <c r="N6" i="1" s="1"/>
  <c r="X6" i="1" s="1"/>
  <c r="C8" i="1"/>
  <c r="P7" i="1"/>
  <c r="R7" i="1" s="1"/>
  <c r="T7" i="1" s="1"/>
  <c r="M7" i="1"/>
  <c r="Y5" i="1"/>
  <c r="E7" i="1" l="1"/>
  <c r="G7" i="1" s="1"/>
  <c r="H7" i="1" s="1"/>
  <c r="I7" i="1" s="1"/>
  <c r="AD8" i="1"/>
  <c r="AE7" i="1"/>
  <c r="O6" i="1"/>
  <c r="U7" i="1"/>
  <c r="V7" i="1" s="1"/>
  <c r="N7" i="1"/>
  <c r="X7" i="1" s="1"/>
  <c r="W7" i="1"/>
  <c r="Y6" i="1"/>
  <c r="C9" i="1"/>
  <c r="M8" i="1"/>
  <c r="P8" i="1"/>
  <c r="R8" i="1" s="1"/>
  <c r="T8" i="1" s="1"/>
  <c r="E8" i="1"/>
  <c r="G8" i="1" s="1"/>
  <c r="H6" i="1"/>
  <c r="I6" i="1" s="1"/>
  <c r="AC6" i="1"/>
  <c r="V6" i="1"/>
  <c r="AD9" i="1" l="1"/>
  <c r="O7" i="1"/>
  <c r="AE8" i="1"/>
  <c r="N8" i="1"/>
  <c r="X8" i="1" s="1"/>
  <c r="U8" i="1"/>
  <c r="V8" i="1" s="1"/>
  <c r="O8" i="1"/>
  <c r="W8" i="1"/>
  <c r="C10" i="1"/>
  <c r="M9" i="1"/>
  <c r="P9" i="1"/>
  <c r="R9" i="1" s="1"/>
  <c r="T9" i="1" s="1"/>
  <c r="E9" i="1"/>
  <c r="G9" i="1" s="1"/>
  <c r="Y7" i="1"/>
  <c r="AC7" i="1"/>
  <c r="H8" i="1"/>
  <c r="I8" i="1" s="1"/>
  <c r="AD10" i="1" l="1"/>
  <c r="AC9" i="1" s="1"/>
  <c r="AE9" i="1"/>
  <c r="C11" i="1"/>
  <c r="M10" i="1"/>
  <c r="P10" i="1"/>
  <c r="R10" i="1" s="1"/>
  <c r="T10" i="1" s="1"/>
  <c r="E10" i="1"/>
  <c r="G10" i="1" s="1"/>
  <c r="H10" i="1"/>
  <c r="I10" i="1" s="1"/>
  <c r="Y8" i="1"/>
  <c r="H9" i="1"/>
  <c r="I9" i="1" s="1"/>
  <c r="AC8" i="1"/>
  <c r="N9" i="1"/>
  <c r="X9" i="1" s="1"/>
  <c r="U9" i="1"/>
  <c r="V9" i="1" s="1"/>
  <c r="W9" i="1"/>
  <c r="Y9" i="1" l="1"/>
  <c r="AE10" i="1"/>
  <c r="N10" i="1" s="1"/>
  <c r="U10" i="1"/>
  <c r="W10" i="1"/>
  <c r="C12" i="1"/>
  <c r="M11" i="1"/>
  <c r="P11" i="1"/>
  <c r="R11" i="1" s="1"/>
  <c r="T11" i="1" s="1"/>
  <c r="E11" i="1"/>
  <c r="G11" i="1" s="1"/>
  <c r="AD11" i="1"/>
  <c r="O9" i="1"/>
  <c r="X10" i="1" l="1"/>
  <c r="O10" i="1"/>
  <c r="V10" i="1"/>
  <c r="AD12" i="1"/>
  <c r="AC11" i="1"/>
  <c r="AE11" i="1"/>
  <c r="N11" i="1" s="1"/>
  <c r="U11" i="1"/>
  <c r="W11" i="1"/>
  <c r="Y10" i="1"/>
  <c r="C13" i="1"/>
  <c r="M12" i="1"/>
  <c r="P12" i="1"/>
  <c r="R12" i="1" s="1"/>
  <c r="T12" i="1" s="1"/>
  <c r="E12" i="1"/>
  <c r="G12" i="1" s="1"/>
  <c r="H12" i="1" s="1"/>
  <c r="I12" i="1" s="1"/>
  <c r="AC10" i="1"/>
  <c r="H11" i="1"/>
  <c r="I11" i="1" s="1"/>
  <c r="V11" i="1" l="1"/>
  <c r="X11" i="1"/>
  <c r="Y11" i="1" s="1"/>
  <c r="O11" i="1"/>
  <c r="U12" i="1"/>
  <c r="W12" i="1"/>
  <c r="C14" i="1"/>
  <c r="M13" i="1"/>
  <c r="P13" i="1"/>
  <c r="R13" i="1" s="1"/>
  <c r="T13" i="1" s="1"/>
  <c r="E13" i="1"/>
  <c r="G13" i="1" s="1"/>
  <c r="H13" i="1" s="1"/>
  <c r="I13" i="1" s="1"/>
  <c r="AD13" i="1"/>
  <c r="AC12" i="1" s="1"/>
  <c r="AE12" i="1"/>
  <c r="N12" i="1" s="1"/>
  <c r="X12" i="1" l="1"/>
  <c r="Y12" i="1" s="1"/>
  <c r="O12" i="1"/>
  <c r="U13" i="1"/>
  <c r="W13" i="1"/>
  <c r="V12" i="1"/>
  <c r="AD14" i="1"/>
  <c r="AC13" i="1" s="1"/>
  <c r="AE13" i="1"/>
  <c r="N13" i="1" s="1"/>
  <c r="C15" i="1"/>
  <c r="M14" i="1"/>
  <c r="P14" i="1"/>
  <c r="R14" i="1" s="1"/>
  <c r="T14" i="1" s="1"/>
  <c r="E14" i="1"/>
  <c r="G14" i="1" s="1"/>
  <c r="H14" i="1" s="1"/>
  <c r="I14" i="1" s="1"/>
  <c r="V13" i="1" l="1"/>
  <c r="X13" i="1"/>
  <c r="O13" i="1"/>
  <c r="AD15" i="1"/>
  <c r="AC14" i="1" s="1"/>
  <c r="AE14" i="1"/>
  <c r="N14" i="1" s="1"/>
  <c r="C16" i="1"/>
  <c r="M15" i="1"/>
  <c r="P15" i="1"/>
  <c r="R15" i="1" s="1"/>
  <c r="T15" i="1" s="1"/>
  <c r="E15" i="1"/>
  <c r="G15" i="1" s="1"/>
  <c r="H15" i="1" s="1"/>
  <c r="I15" i="1" s="1"/>
  <c r="Y13" i="1"/>
  <c r="U14" i="1"/>
  <c r="W14" i="1"/>
  <c r="X14" i="1" l="1"/>
  <c r="Y14" i="1" s="1"/>
  <c r="O14" i="1"/>
  <c r="C17" i="1"/>
  <c r="M16" i="1"/>
  <c r="P16" i="1"/>
  <c r="R16" i="1" s="1"/>
  <c r="T16" i="1" s="1"/>
  <c r="E16" i="1"/>
  <c r="G16" i="1" s="1"/>
  <c r="H16" i="1" s="1"/>
  <c r="I16" i="1" s="1"/>
  <c r="V14" i="1"/>
  <c r="U15" i="1"/>
  <c r="W15" i="1"/>
  <c r="AD16" i="1"/>
  <c r="AE15" i="1"/>
  <c r="N15" i="1" s="1"/>
  <c r="X15" i="1" l="1"/>
  <c r="O15" i="1"/>
  <c r="AD17" i="1"/>
  <c r="AC16" i="1" s="1"/>
  <c r="AE16" i="1"/>
  <c r="N16" i="1" s="1"/>
  <c r="X16" i="1" s="1"/>
  <c r="U16" i="1"/>
  <c r="W16" i="1"/>
  <c r="Y15" i="1"/>
  <c r="C18" i="1"/>
  <c r="P17" i="1"/>
  <c r="R17" i="1" s="1"/>
  <c r="T17" i="1" s="1"/>
  <c r="E17" i="1"/>
  <c r="G17" i="1" s="1"/>
  <c r="H17" i="1" s="1"/>
  <c r="I17" i="1" s="1"/>
  <c r="M17" i="1"/>
  <c r="AC15" i="1"/>
  <c r="V15" i="1"/>
  <c r="V16" i="1" l="1"/>
  <c r="C19" i="1"/>
  <c r="P18" i="1"/>
  <c r="R18" i="1" s="1"/>
  <c r="T18" i="1" s="1"/>
  <c r="E18" i="1"/>
  <c r="G18" i="1" s="1"/>
  <c r="H18" i="1" s="1"/>
  <c r="I18" i="1" s="1"/>
  <c r="M18" i="1"/>
  <c r="W17" i="1"/>
  <c r="U17" i="1"/>
  <c r="O16" i="1"/>
  <c r="Y16" i="1"/>
  <c r="AC17" i="1"/>
  <c r="AD18" i="1"/>
  <c r="AE17" i="1"/>
  <c r="N17" i="1" s="1"/>
  <c r="X17" i="1" l="1"/>
  <c r="Y17" i="1" s="1"/>
  <c r="O17" i="1"/>
  <c r="C20" i="1"/>
  <c r="P19" i="1"/>
  <c r="R19" i="1" s="1"/>
  <c r="T19" i="1" s="1"/>
  <c r="E19" i="1"/>
  <c r="G19" i="1" s="1"/>
  <c r="H19" i="1" s="1"/>
  <c r="I19" i="1" s="1"/>
  <c r="M19" i="1"/>
  <c r="AD19" i="1"/>
  <c r="AC18" i="1" s="1"/>
  <c r="AE18" i="1"/>
  <c r="N18" i="1" s="1"/>
  <c r="X18" i="1" s="1"/>
  <c r="V17" i="1"/>
  <c r="W18" i="1"/>
  <c r="U18" i="1"/>
  <c r="O18" i="1" l="1"/>
  <c r="Y18" i="1"/>
  <c r="C21" i="1"/>
  <c r="P20" i="1"/>
  <c r="R20" i="1" s="1"/>
  <c r="T20" i="1" s="1"/>
  <c r="E20" i="1"/>
  <c r="G20" i="1" s="1"/>
  <c r="H20" i="1" s="1"/>
  <c r="I20" i="1" s="1"/>
  <c r="M20" i="1"/>
  <c r="AD20" i="1"/>
  <c r="AE19" i="1"/>
  <c r="N19" i="1" s="1"/>
  <c r="X19" i="1" s="1"/>
  <c r="V18" i="1"/>
  <c r="W19" i="1"/>
  <c r="U19" i="1"/>
  <c r="V19" i="1" s="1"/>
  <c r="AD21" i="1" l="1"/>
  <c r="AC20" i="1" s="1"/>
  <c r="AE20" i="1"/>
  <c r="W20" i="1"/>
  <c r="N20" i="1"/>
  <c r="X20" i="1" s="1"/>
  <c r="U20" i="1"/>
  <c r="V20" i="1" s="1"/>
  <c r="O19" i="1"/>
  <c r="Y19" i="1"/>
  <c r="AC19" i="1"/>
  <c r="C22" i="1"/>
  <c r="P21" i="1"/>
  <c r="R21" i="1" s="1"/>
  <c r="T21" i="1" s="1"/>
  <c r="E21" i="1"/>
  <c r="G21" i="1" s="1"/>
  <c r="H21" i="1" s="1"/>
  <c r="I21" i="1" s="1"/>
  <c r="M21" i="1"/>
  <c r="O20" i="1" l="1"/>
  <c r="AD22" i="1"/>
  <c r="AC21" i="1" s="1"/>
  <c r="AE21" i="1"/>
  <c r="N21" i="1" s="1"/>
  <c r="Y20" i="1"/>
  <c r="W21" i="1"/>
  <c r="U21" i="1"/>
  <c r="M22" i="1"/>
  <c r="P22" i="1"/>
  <c r="R22" i="1" s="1"/>
  <c r="T22" i="1" s="1"/>
  <c r="E22" i="1"/>
  <c r="G22" i="1" s="1"/>
  <c r="H22" i="1" s="1"/>
  <c r="I22" i="1" s="1"/>
  <c r="C23" i="1"/>
  <c r="X21" i="1" l="1"/>
  <c r="O21" i="1"/>
  <c r="U22" i="1"/>
  <c r="W22" i="1"/>
  <c r="Y21" i="1"/>
  <c r="AD23" i="1"/>
  <c r="AC22" i="1"/>
  <c r="AE22" i="1"/>
  <c r="N22" i="1" s="1"/>
  <c r="M23" i="1"/>
  <c r="P23" i="1"/>
  <c r="R23" i="1" s="1"/>
  <c r="T23" i="1" s="1"/>
  <c r="E23" i="1"/>
  <c r="G23" i="1" s="1"/>
  <c r="H23" i="1" s="1"/>
  <c r="I23" i="1" s="1"/>
  <c r="C24" i="1"/>
  <c r="V21" i="1"/>
  <c r="V22" i="1" l="1"/>
  <c r="X22" i="1"/>
  <c r="O22" i="1"/>
  <c r="AD24" i="1"/>
  <c r="AC23" i="1"/>
  <c r="AE23" i="1"/>
  <c r="Y22" i="1"/>
  <c r="U23" i="1"/>
  <c r="W23" i="1"/>
  <c r="N23" i="1"/>
  <c r="X23" i="1" s="1"/>
  <c r="M24" i="1"/>
  <c r="P24" i="1"/>
  <c r="R24" i="1" s="1"/>
  <c r="T24" i="1" s="1"/>
  <c r="E24" i="1"/>
  <c r="G24" i="1" s="1"/>
  <c r="H24" i="1" s="1"/>
  <c r="I24" i="1" s="1"/>
  <c r="C25" i="1"/>
  <c r="Y23" i="1" l="1"/>
  <c r="U24" i="1"/>
  <c r="W24" i="1"/>
  <c r="V23" i="1"/>
  <c r="AD25" i="1"/>
  <c r="AC24" i="1"/>
  <c r="AE24" i="1"/>
  <c r="N24" i="1" s="1"/>
  <c r="M25" i="1"/>
  <c r="P25" i="1"/>
  <c r="R25" i="1" s="1"/>
  <c r="T25" i="1" s="1"/>
  <c r="E25" i="1"/>
  <c r="G25" i="1" s="1"/>
  <c r="H25" i="1" s="1"/>
  <c r="I25" i="1" s="1"/>
  <c r="C26" i="1"/>
  <c r="O23" i="1"/>
  <c r="V24" i="1" l="1"/>
  <c r="X24" i="1"/>
  <c r="O24" i="1"/>
  <c r="U25" i="1"/>
  <c r="W25" i="1"/>
  <c r="M26" i="1"/>
  <c r="P26" i="1"/>
  <c r="R26" i="1" s="1"/>
  <c r="T26" i="1" s="1"/>
  <c r="E26" i="1"/>
  <c r="G26" i="1" s="1"/>
  <c r="H26" i="1" s="1"/>
  <c r="I26" i="1" s="1"/>
  <c r="C27" i="1"/>
  <c r="AD26" i="1"/>
  <c r="AC25" i="1"/>
  <c r="AE25" i="1"/>
  <c r="N25" i="1" s="1"/>
  <c r="Y24" i="1"/>
  <c r="X25" i="1" l="1"/>
  <c r="Y25" i="1" s="1"/>
  <c r="O25" i="1"/>
  <c r="AD27" i="1"/>
  <c r="AE26" i="1"/>
  <c r="N26" i="1" s="1"/>
  <c r="U26" i="1"/>
  <c r="W26" i="1"/>
  <c r="V25" i="1"/>
  <c r="M27" i="1"/>
  <c r="P27" i="1"/>
  <c r="R27" i="1" s="1"/>
  <c r="T27" i="1" s="1"/>
  <c r="E27" i="1"/>
  <c r="G27" i="1" s="1"/>
  <c r="H27" i="1" s="1"/>
  <c r="I27" i="1" s="1"/>
  <c r="C28" i="1"/>
  <c r="X26" i="1" l="1"/>
  <c r="Y26" i="1" s="1"/>
  <c r="O26" i="1"/>
  <c r="AD28" i="1"/>
  <c r="AE28" i="1" s="1"/>
  <c r="AE27" i="1"/>
  <c r="N27" i="1" s="1"/>
  <c r="E28" i="1"/>
  <c r="M28" i="1"/>
  <c r="P28" i="1"/>
  <c r="R28" i="1" s="1"/>
  <c r="T28" i="1" s="1"/>
  <c r="D35" i="1" s="1"/>
  <c r="V26" i="1"/>
  <c r="U27" i="1"/>
  <c r="W27" i="1"/>
  <c r="AC26" i="1"/>
  <c r="X27" i="1" l="1"/>
  <c r="O27" i="1"/>
  <c r="Y27" i="1"/>
  <c r="W28" i="1"/>
  <c r="N28" i="1"/>
  <c r="X28" i="1" s="1"/>
  <c r="U28" i="1"/>
  <c r="V28" i="1" s="1"/>
  <c r="M32" i="1"/>
  <c r="V27" i="1"/>
  <c r="C36" i="1"/>
  <c r="E34" i="1"/>
  <c r="G28" i="1"/>
  <c r="H28" i="1" s="1"/>
  <c r="I28" i="1" s="1"/>
  <c r="K28" i="1" s="1"/>
  <c r="L28" i="1" s="1"/>
  <c r="L32" i="1" s="1"/>
  <c r="AB28" i="1" s="1"/>
  <c r="AC27" i="1"/>
  <c r="AC28" i="1" s="1"/>
  <c r="V32" i="1" l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Y28" i="1"/>
  <c r="O28" i="1"/>
  <c r="O32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</calcChain>
</file>

<file path=xl/sharedStrings.xml><?xml version="1.0" encoding="utf-8"?>
<sst xmlns="http://schemas.openxmlformats.org/spreadsheetml/2006/main" count="60" uniqueCount="40">
  <si>
    <t>Jahr</t>
  </si>
  <si>
    <t>Vers. Jahr</t>
  </si>
  <si>
    <t>jährl. Beitrag</t>
  </si>
  <si>
    <t>Dynamik Beitrags- erhöhung</t>
  </si>
  <si>
    <t>kumulierter Beitrag</t>
  </si>
  <si>
    <t>Zins</t>
  </si>
  <si>
    <t>jährlicher Ertrag</t>
  </si>
  <si>
    <t>kumulierter Ertrag</t>
  </si>
  <si>
    <t>Kapital zum Jahresende</t>
  </si>
  <si>
    <t>jährl. Rente pro 10 TEUR</t>
  </si>
  <si>
    <t>jährliche Rente</t>
  </si>
  <si>
    <t>monatliche Rente nach Inflation</t>
  </si>
  <si>
    <t>Beitrag vor Inflation (monatlich)</t>
  </si>
  <si>
    <t>Kaufkraft- verlust bei Inflation</t>
  </si>
  <si>
    <t>Beitrag nach Inflation (monatlich)</t>
  </si>
  <si>
    <t>Renten Vers. Beitrag jährlich</t>
  </si>
  <si>
    <t>max. Steuer- wirksam in %</t>
  </si>
  <si>
    <t>max. Steuer- wirksam in €</t>
  </si>
  <si>
    <t>EkSt.- Steuer Progr.</t>
  </si>
  <si>
    <t>monatl.        EkSt.- Ent-lastung</t>
  </si>
  <si>
    <t>Beitrag monatlich nach Steuer</t>
  </si>
  <si>
    <t>Beitrag monatlich nach Steuer u. Inflation</t>
  </si>
  <si>
    <t>Beitrag monatlich vor Steuer</t>
  </si>
  <si>
    <t>Kaufkraft zum Jahres-ende</t>
  </si>
  <si>
    <t>Beitrag im Mittel vor Steuer nach Inflation</t>
  </si>
  <si>
    <t>Beitrag im Mittel nach Steuer nach Inflation</t>
  </si>
  <si>
    <t>Renten- anspruch</t>
  </si>
  <si>
    <t>Kauf-kraft zum Jahres-ende</t>
  </si>
  <si>
    <t>Inflat. Linear</t>
  </si>
  <si>
    <t>Kaufkraft-verlust kumuliert</t>
  </si>
  <si>
    <t xml:space="preserve"> </t>
  </si>
  <si>
    <t>Beitrag jährl.</t>
  </si>
  <si>
    <t>Dynamik</t>
  </si>
  <si>
    <t xml:space="preserve">kumulierter Beitrag </t>
  </si>
  <si>
    <t>Kaufkraft d. monatlichen Rente</t>
  </si>
  <si>
    <t>Beitrag monatlich im Mittel</t>
  </si>
  <si>
    <t>Aufwand im Mittel vor Steuer</t>
  </si>
  <si>
    <t>Aufwand im Mittel nach Steuer</t>
  </si>
  <si>
    <t>kumulierter Beitrag Netto</t>
  </si>
  <si>
    <t>ESt./Soli Entlastung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</si>
</sst>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&quot; &quot;#,##0&quot; &quot;[$€-407]&quot; &quot;;&quot;-&quot;#,##0&quot; &quot;[$€-407]&quot; &quot;;&quot; -&quot;00&quot; &quot;[$€-407]&quot; &quot;;&quot; &quot;@&quot; &quot;"/>
    <numFmt numFmtId="166" formatCode="&quot; &quot;#,##0.0&quot; &quot;[$€-407]&quot; &quot;;&quot;-&quot;#,##0.0&quot; &quot;[$€-407]&quot; &quot;;&quot; -&quot;00.0&quot; &quot;[$€-407]&quot; &quot;;&quot; &quot;@&quot; &quot;"/>
    <numFmt numFmtId="167" formatCode="#,##0.0&quot; &quot;[$€-407]"/>
    <numFmt numFmtId="168" formatCode="&quot; &quot;#,##0.00&quot; &quot;[$€-407]&quot; &quot;;&quot;-&quot;#,##0.00&quot; &quot;[$€-407]&quot; &quot;;&quot; -&quot;00&quot; &quot;[$€-407]&quot; &quot;;&quot; &quot;@&quot; &quot;"/>
    <numFmt numFmtId="169" formatCode="#,##0.00&quot; &quot;[$€-407]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5" fontId="2" fillId="0" borderId="0" xfId="1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5" fontId="1" fillId="0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" fillId="0" borderId="0" xfId="2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165" fontId="1" fillId="0" borderId="0" xfId="1" applyNumberFormat="1"/>
    <xf numFmtId="164" fontId="4" fillId="0" borderId="0" xfId="2" applyNumberFormat="1" applyFont="1" applyAlignment="1">
      <alignment horizontal="center" vertical="center" wrapText="1"/>
    </xf>
    <xf numFmtId="10" fontId="1" fillId="0" borderId="0" xfId="2" applyNumberFormat="1" applyAlignment="1">
      <alignment horizontal="center" vertical="center" wrapText="1"/>
    </xf>
    <xf numFmtId="0" fontId="1" fillId="0" borderId="0" xfId="1" applyNumberFormat="1"/>
    <xf numFmtId="9" fontId="1" fillId="0" borderId="0" xfId="2" applyAlignment="1">
      <alignment horizontal="center"/>
    </xf>
    <xf numFmtId="10" fontId="1" fillId="0" borderId="0" xfId="2" applyNumberFormat="1" applyAlignment="1">
      <alignment horizontal="center"/>
    </xf>
    <xf numFmtId="165" fontId="0" fillId="0" borderId="0" xfId="0" applyNumberFormat="1"/>
    <xf numFmtId="164" fontId="1" fillId="0" borderId="0" xfId="2" applyNumberFormat="1"/>
    <xf numFmtId="164" fontId="4" fillId="0" borderId="0" xfId="2" applyNumberFormat="1" applyFont="1"/>
    <xf numFmtId="10" fontId="0" fillId="0" borderId="0" xfId="0" applyNumberFormat="1"/>
    <xf numFmtId="164" fontId="1" fillId="0" borderId="0" xfId="2" applyNumberFormat="1" applyAlignment="1">
      <alignment horizontal="center"/>
    </xf>
    <xf numFmtId="166" fontId="0" fillId="0" borderId="0" xfId="0" applyNumberFormat="1"/>
    <xf numFmtId="165" fontId="4" fillId="0" borderId="0" xfId="0" applyNumberFormat="1" applyFont="1"/>
    <xf numFmtId="10" fontId="1" fillId="0" borderId="0" xfId="2" applyNumberFormat="1"/>
    <xf numFmtId="165" fontId="4" fillId="0" borderId="0" xfId="1" applyNumberFormat="1" applyFont="1"/>
    <xf numFmtId="164" fontId="0" fillId="0" borderId="0" xfId="0" applyNumberFormat="1"/>
    <xf numFmtId="167" fontId="0" fillId="0" borderId="0" xfId="0" applyNumberFormat="1"/>
    <xf numFmtId="0" fontId="1" fillId="3" borderId="0" xfId="1" applyNumberFormat="1" applyFill="1"/>
    <xf numFmtId="165" fontId="1" fillId="3" borderId="0" xfId="1" applyNumberFormat="1" applyFill="1"/>
    <xf numFmtId="9" fontId="1" fillId="3" borderId="0" xfId="2" applyFill="1" applyAlignment="1">
      <alignment horizontal="center"/>
    </xf>
    <xf numFmtId="164" fontId="1" fillId="3" borderId="0" xfId="2" applyNumberFormat="1" applyFill="1" applyAlignment="1">
      <alignment horizontal="center"/>
    </xf>
    <xf numFmtId="165" fontId="0" fillId="3" borderId="0" xfId="0" applyNumberFormat="1" applyFill="1"/>
    <xf numFmtId="0" fontId="0" fillId="3" borderId="0" xfId="0" applyFill="1"/>
    <xf numFmtId="166" fontId="0" fillId="3" borderId="0" xfId="0" applyNumberFormat="1" applyFill="1"/>
    <xf numFmtId="165" fontId="4" fillId="3" borderId="0" xfId="0" applyNumberFormat="1" applyFont="1" applyFill="1"/>
    <xf numFmtId="10" fontId="1" fillId="3" borderId="0" xfId="2" applyNumberFormat="1" applyFill="1"/>
    <xf numFmtId="164" fontId="1" fillId="3" borderId="0" xfId="2" applyNumberFormat="1" applyFill="1"/>
    <xf numFmtId="165" fontId="4" fillId="3" borderId="0" xfId="1" applyNumberFormat="1" applyFont="1" applyFill="1"/>
    <xf numFmtId="164" fontId="0" fillId="3" borderId="0" xfId="0" applyNumberFormat="1" applyFill="1"/>
    <xf numFmtId="10" fontId="0" fillId="3" borderId="0" xfId="0" applyNumberFormat="1" applyFill="1"/>
    <xf numFmtId="165" fontId="5" fillId="3" borderId="0" xfId="1" applyNumberFormat="1" applyFont="1" applyFill="1"/>
    <xf numFmtId="165" fontId="5" fillId="3" borderId="0" xfId="0" applyNumberFormat="1" applyFont="1" applyFill="1"/>
    <xf numFmtId="168" fontId="5" fillId="3" borderId="0" xfId="1" applyFont="1" applyFill="1"/>
    <xf numFmtId="165" fontId="6" fillId="3" borderId="0" xfId="1" applyNumberFormat="1" applyFont="1" applyFill="1"/>
    <xf numFmtId="165" fontId="7" fillId="3" borderId="0" xfId="0" applyNumberFormat="1" applyFont="1" applyFill="1"/>
    <xf numFmtId="165" fontId="7" fillId="3" borderId="0" xfId="1" applyNumberFormat="1" applyFont="1" applyFill="1"/>
    <xf numFmtId="165" fontId="1" fillId="0" borderId="0" xfId="1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5" fillId="0" borderId="0" xfId="1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6" fillId="0" borderId="0" xfId="1" applyNumberFormat="1" applyFont="1"/>
    <xf numFmtId="0" fontId="8" fillId="0" borderId="0" xfId="1" applyNumberFormat="1" applyFont="1" applyAlignment="1">
      <alignment horizontal="center" vertical="top" wrapText="1"/>
    </xf>
    <xf numFmtId="165" fontId="1" fillId="0" borderId="0" xfId="1" applyNumberFormat="1" applyAlignment="1">
      <alignment horizontal="center"/>
    </xf>
    <xf numFmtId="169" fontId="0" fillId="0" borderId="0" xfId="0" applyNumberFormat="1"/>
    <xf numFmtId="0" fontId="0" fillId="0" borderId="0" xfId="0" applyAlignment="1">
      <alignment horizontal="right"/>
    </xf>
    <xf numFmtId="9" fontId="1" fillId="2" borderId="0" xfId="2" applyFill="1" applyAlignment="1" applyProtection="1">
      <alignment horizontal="center" vertical="center" wrapText="1"/>
      <protection locked="0"/>
    </xf>
    <xf numFmtId="164" fontId="1" fillId="2" borderId="0" xfId="2" applyNumberForma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</cellXfs>
  <cellStyles count="3">
    <cellStyle name="Prozent" xfId="2" builtinId="5" customBuiltin="1"/>
    <cellStyle name="Standard" xfId="0" builtinId="0" customBuiltin="1"/>
    <cellStyle name="Währung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016063547182457E-2"/>
          <c:y val="7.2788813332957114E-2"/>
          <c:w val="0.86684353404117942"/>
          <c:h val="0.75433917559386654"/>
        </c:manualLayout>
      </c:layout>
      <c:lineChart>
        <c:grouping val="standard"/>
        <c:varyColors val="0"/>
        <c:ser>
          <c:idx val="0"/>
          <c:order val="0"/>
          <c:tx>
            <c:strRef>
              <c:f>Tabelle1!$M$1:$M$1</c:f>
              <c:strCache>
                <c:ptCount val="1"/>
                <c:pt idx="0">
                  <c:v>Beitrag vor Inflation (monatlich)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Tabelle1!$M$4:$M$28</c:f>
              <c:numCache>
                <c:formatCode>" "#,##0" "[$€-407]" ";"-"#,##0" "[$€-407]" ";" -"00" "[$€-407]" ";" "@" "</c:formatCode>
                <c:ptCount val="25"/>
                <c:pt idx="0">
                  <c:v>428.83</c:v>
                </c:pt>
                <c:pt idx="1">
                  <c:v>450.27150000000006</c:v>
                </c:pt>
                <c:pt idx="2">
                  <c:v>472.78507500000006</c:v>
                </c:pt>
                <c:pt idx="3">
                  <c:v>496.42432875000009</c:v>
                </c:pt>
                <c:pt idx="4">
                  <c:v>521.24554518750017</c:v>
                </c:pt>
                <c:pt idx="5">
                  <c:v>547.30782244687509</c:v>
                </c:pt>
                <c:pt idx="6">
                  <c:v>574.67321356921889</c:v>
                </c:pt>
                <c:pt idx="7">
                  <c:v>603.40687424767987</c:v>
                </c:pt>
                <c:pt idx="8">
                  <c:v>633.57721796006388</c:v>
                </c:pt>
                <c:pt idx="9">
                  <c:v>665.2560788580671</c:v>
                </c:pt>
                <c:pt idx="10">
                  <c:v>698.51888280097046</c:v>
                </c:pt>
                <c:pt idx="11">
                  <c:v>733.44482694101907</c:v>
                </c:pt>
                <c:pt idx="12">
                  <c:v>770.11706828807007</c:v>
                </c:pt>
                <c:pt idx="13">
                  <c:v>808.62292170247349</c:v>
                </c:pt>
                <c:pt idx="14">
                  <c:v>849.05406778759732</c:v>
                </c:pt>
                <c:pt idx="15">
                  <c:v>891.50677117697717</c:v>
                </c:pt>
                <c:pt idx="16">
                  <c:v>936.08210973582618</c:v>
                </c:pt>
                <c:pt idx="17">
                  <c:v>982.88621522261747</c:v>
                </c:pt>
                <c:pt idx="18">
                  <c:v>1032.0305259837485</c:v>
                </c:pt>
                <c:pt idx="19">
                  <c:v>1083.6320522829358</c:v>
                </c:pt>
                <c:pt idx="20">
                  <c:v>1137.8136548970826</c:v>
                </c:pt>
                <c:pt idx="21">
                  <c:v>1194.7043376419369</c:v>
                </c:pt>
                <c:pt idx="22">
                  <c:v>1254.4395545240338</c:v>
                </c:pt>
                <c:pt idx="23">
                  <c:v>1317.1615322502357</c:v>
                </c:pt>
                <c:pt idx="24">
                  <c:v>1383.0196088627474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Tabelle1!$O$1:$O$1</c:f>
              <c:strCache>
                <c:ptCount val="1"/>
                <c:pt idx="0">
                  <c:v>Beitrag nach Inflation (monatlich)</c:v>
                </c:pt>
              </c:strCache>
            </c:strRef>
          </c:tx>
          <c:spPr>
            <a:ln w="28575">
              <a:solidFill>
                <a:srgbClr val="E46C0A"/>
              </a:solidFill>
              <a:prstDash val="solid"/>
              <a:round/>
            </a:ln>
          </c:spPr>
          <c:marker>
            <c:symbol val="none"/>
          </c:marker>
          <c:val>
            <c:numRef>
              <c:f>Tabelle1!$O$4:$O$28</c:f>
              <c:numCache>
                <c:formatCode>" "#,##0" "[$€-407]" ";"-"#,##0" "[$€-407]" ";" -"00" "[$€-407]" ";" "@" "</c:formatCode>
                <c:ptCount val="25"/>
                <c:pt idx="0">
                  <c:v>421.11106000000001</c:v>
                </c:pt>
                <c:pt idx="1">
                  <c:v>433.91583803400005</c:v>
                </c:pt>
                <c:pt idx="2">
                  <c:v>446.79237657454269</c:v>
                </c:pt>
                <c:pt idx="3">
                  <c:v>459.70509548552866</c:v>
                </c:pt>
                <c:pt idx="4">
                  <c:v>472.61393693773164</c:v>
                </c:pt>
                <c:pt idx="5">
                  <c:v>485.47395558465382</c:v>
                </c:pt>
                <c:pt idx="6">
                  <c:v>498.23487543594462</c:v>
                </c:pt>
                <c:pt idx="7">
                  <c:v>510.84061088056472</c:v>
                </c:pt>
                <c:pt idx="8">
                  <c:v>523.22874912367331</c:v>
                </c:pt>
                <c:pt idx="9">
                  <c:v>535.32999109940408</c:v>
                </c:pt>
                <c:pt idx="10">
                  <c:v>547.06754770531802</c:v>
                </c:pt>
                <c:pt idx="11">
                  <c:v>558.35648797233785</c:v>
                </c:pt>
                <c:pt idx="12">
                  <c:v>569.10303553526148</c:v>
                </c:pt>
                <c:pt idx="13">
                  <c:v>579.20380950235187</c:v>
                </c:pt>
                <c:pt idx="14">
                  <c:v>588.54500553671051</c:v>
                </c:pt>
                <c:pt idx="15">
                  <c:v>597.0015126558186</c:v>
                </c:pt>
                <c:pt idx="16">
                  <c:v>604.43596092731491</c:v>
                </c:pt>
                <c:pt idx="17">
                  <c:v>610.6976948871926</c:v>
                </c:pt>
                <c:pt idx="18">
                  <c:v>615.62166712950534</c:v>
                </c:pt>
                <c:pt idx="19">
                  <c:v>619.02724611254246</c:v>
                </c:pt>
                <c:pt idx="20">
                  <c:v>620.71693179340173</c:v>
                </c:pt>
                <c:pt idx="21">
                  <c:v>620.47497223885739</c:v>
                </c:pt>
                <c:pt idx="22">
                  <c:v>618.06587386324952</c:v>
                </c:pt>
                <c:pt idx="23">
                  <c:v>613.23279741141903</c:v>
                </c:pt>
                <c:pt idx="24">
                  <c:v>605.69583123400685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Tabelle1!$Z$1:$Z$1</c:f>
              <c:strCache>
                <c:ptCount val="1"/>
                <c:pt idx="0">
                  <c:v>Beitrag im Mittel vor Steuer nach Inflation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24"/>
              <c:layout/>
              <c:showLegendKey val="1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Tabelle1!$Z$4:$Z$28</c:f>
              <c:numCache>
                <c:formatCode>" "#,##0" "[$€-407]" ";"-"#,##0" "[$€-407]" ";" -"00" "[$€-407]" ";" "@" "</c:formatCode>
                <c:ptCount val="25"/>
                <c:pt idx="0">
                  <c:v>550.17971454645328</c:v>
                </c:pt>
                <c:pt idx="1">
                  <c:v>550.17971454645328</c:v>
                </c:pt>
                <c:pt idx="2">
                  <c:v>550.17971454645328</c:v>
                </c:pt>
                <c:pt idx="3">
                  <c:v>550.17971454645328</c:v>
                </c:pt>
                <c:pt idx="4">
                  <c:v>550.17971454645328</c:v>
                </c:pt>
                <c:pt idx="5">
                  <c:v>550.17971454645328</c:v>
                </c:pt>
                <c:pt idx="6">
                  <c:v>550.17971454645328</c:v>
                </c:pt>
                <c:pt idx="7">
                  <c:v>550.17971454645328</c:v>
                </c:pt>
                <c:pt idx="8">
                  <c:v>550.17971454645328</c:v>
                </c:pt>
                <c:pt idx="9">
                  <c:v>550.17971454645328</c:v>
                </c:pt>
                <c:pt idx="10">
                  <c:v>550.17971454645328</c:v>
                </c:pt>
                <c:pt idx="11">
                  <c:v>550.17971454645328</c:v>
                </c:pt>
                <c:pt idx="12">
                  <c:v>550.17971454645328</c:v>
                </c:pt>
                <c:pt idx="13">
                  <c:v>550.17971454645328</c:v>
                </c:pt>
                <c:pt idx="14">
                  <c:v>550.17971454645328</c:v>
                </c:pt>
                <c:pt idx="15">
                  <c:v>550.17971454645328</c:v>
                </c:pt>
                <c:pt idx="16">
                  <c:v>550.17971454645328</c:v>
                </c:pt>
                <c:pt idx="17">
                  <c:v>550.17971454645328</c:v>
                </c:pt>
                <c:pt idx="18">
                  <c:v>550.17971454645328</c:v>
                </c:pt>
                <c:pt idx="19">
                  <c:v>550.17971454645328</c:v>
                </c:pt>
                <c:pt idx="20">
                  <c:v>550.17971454645328</c:v>
                </c:pt>
                <c:pt idx="21">
                  <c:v>550.17971454645328</c:v>
                </c:pt>
                <c:pt idx="22">
                  <c:v>550.17971454645328</c:v>
                </c:pt>
                <c:pt idx="23">
                  <c:v>550.17971454645328</c:v>
                </c:pt>
                <c:pt idx="24">
                  <c:v>550.17971454645328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Tabelle1!$AA$1:$AA$1</c:f>
              <c:strCache>
                <c:ptCount val="1"/>
                <c:pt idx="0">
                  <c:v>Beitrag im Mittel nach Steuer nach Inflation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24"/>
              <c:layout/>
              <c:showLegendKey val="1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Tabelle1!$AA$4:$AA$28</c:f>
              <c:numCache>
                <c:formatCode>" "#,##0" "[$€-407]" ";"-"#,##0" "[$€-407]" ";" -"00" "[$€-407]" ";" "@" "</c:formatCode>
                <c:ptCount val="25"/>
                <c:pt idx="0">
                  <c:v>327.57303918318974</c:v>
                </c:pt>
                <c:pt idx="1">
                  <c:v>327.57303918318974</c:v>
                </c:pt>
                <c:pt idx="2">
                  <c:v>327.57303918318974</c:v>
                </c:pt>
                <c:pt idx="3">
                  <c:v>327.57303918318974</c:v>
                </c:pt>
                <c:pt idx="4">
                  <c:v>327.57303918318974</c:v>
                </c:pt>
                <c:pt idx="5">
                  <c:v>327.57303918318974</c:v>
                </c:pt>
                <c:pt idx="6">
                  <c:v>327.57303918318974</c:v>
                </c:pt>
                <c:pt idx="7">
                  <c:v>327.57303918318974</c:v>
                </c:pt>
                <c:pt idx="8">
                  <c:v>327.57303918318974</c:v>
                </c:pt>
                <c:pt idx="9">
                  <c:v>327.57303918318974</c:v>
                </c:pt>
                <c:pt idx="10">
                  <c:v>327.57303918318974</c:v>
                </c:pt>
                <c:pt idx="11">
                  <c:v>327.57303918318974</c:v>
                </c:pt>
                <c:pt idx="12">
                  <c:v>327.57303918318974</c:v>
                </c:pt>
                <c:pt idx="13">
                  <c:v>327.57303918318974</c:v>
                </c:pt>
                <c:pt idx="14">
                  <c:v>327.57303918318974</c:v>
                </c:pt>
                <c:pt idx="15">
                  <c:v>327.57303918318974</c:v>
                </c:pt>
                <c:pt idx="16">
                  <c:v>327.57303918318974</c:v>
                </c:pt>
                <c:pt idx="17">
                  <c:v>327.57303918318974</c:v>
                </c:pt>
                <c:pt idx="18">
                  <c:v>327.57303918318974</c:v>
                </c:pt>
                <c:pt idx="19">
                  <c:v>327.57303918318974</c:v>
                </c:pt>
                <c:pt idx="20">
                  <c:v>327.57303918318974</c:v>
                </c:pt>
                <c:pt idx="21">
                  <c:v>327.57303918318974</c:v>
                </c:pt>
                <c:pt idx="22">
                  <c:v>327.57303918318974</c:v>
                </c:pt>
                <c:pt idx="23">
                  <c:v>327.57303918318974</c:v>
                </c:pt>
                <c:pt idx="24">
                  <c:v>327.57303918318974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Tabelle1!$L$1:$L$1</c:f>
              <c:strCache>
                <c:ptCount val="1"/>
                <c:pt idx="0">
                  <c:v>monatliche Rente nach Inflation</c:v>
                </c:pt>
              </c:strCache>
            </c:strRef>
          </c:tx>
          <c:spPr>
            <a:ln w="28575">
              <a:solidFill>
                <a:srgbClr val="46AAC5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24"/>
              <c:layout/>
              <c:dLblPos val="t"/>
              <c:showLegendKey val="1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Tabelle1!$AB$4:$AB$28</c:f>
              <c:numCache>
                <c:formatCode>" "#,##0" "[$€-407]" ";"-"#,##0" "[$€-407]" ";" -"00" "[$€-407]" ";" "@" "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351.34400472515296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Tabelle1!$U$1</c:f>
              <c:strCache>
                <c:ptCount val="1"/>
                <c:pt idx="0">
                  <c:v>Beitrag monatlich nach Steuer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Tabelle1!$U$4:$U$28</c:f>
              <c:numCache>
                <c:formatCode>" "#,##0" "[$€-407]" ";"-"#,##0" "[$€-407]" ";" -"00" "[$€-407]" ";" "@" "</c:formatCode>
                <c:ptCount val="25"/>
                <c:pt idx="0">
                  <c:v>288.76211476000003</c:v>
                </c:pt>
                <c:pt idx="1">
                  <c:v>299.11490717850006</c:v>
                </c:pt>
                <c:pt idx="2">
                  <c:v>309.78107355195004</c:v>
                </c:pt>
                <c:pt idx="3">
                  <c:v>320.76606929479885</c:v>
                </c:pt>
                <c:pt idx="4">
                  <c:v>332.07511192805259</c:v>
                </c:pt>
                <c:pt idx="5">
                  <c:v>343.71314365139472</c:v>
                </c:pt>
                <c:pt idx="6">
                  <c:v>355.68479076725089</c:v>
                </c:pt>
                <c:pt idx="7">
                  <c:v>367.99431973556432</c:v>
                </c:pt>
                <c:pt idx="8">
                  <c:v>380.6455896237909</c:v>
                </c:pt>
                <c:pt idx="9">
                  <c:v>407.80197633999512</c:v>
                </c:pt>
                <c:pt idx="10">
                  <c:v>422.1848127649065</c:v>
                </c:pt>
                <c:pt idx="11">
                  <c:v>436.98642789145913</c:v>
                </c:pt>
                <c:pt idx="12">
                  <c:v>452.21274249875472</c:v>
                </c:pt>
                <c:pt idx="13">
                  <c:v>467.86922249705111</c:v>
                </c:pt>
                <c:pt idx="14">
                  <c:v>483.96081863893039</c:v>
                </c:pt>
                <c:pt idx="15">
                  <c:v>508.15885957087693</c:v>
                </c:pt>
                <c:pt idx="16">
                  <c:v>533.5668025494208</c:v>
                </c:pt>
                <c:pt idx="17">
                  <c:v>560.24514267689187</c:v>
                </c:pt>
                <c:pt idx="18">
                  <c:v>588.25739981073662</c:v>
                </c:pt>
                <c:pt idx="19">
                  <c:v>617.67026980127321</c:v>
                </c:pt>
                <c:pt idx="20">
                  <c:v>648.55378329133691</c:v>
                </c:pt>
                <c:pt idx="21">
                  <c:v>680.98147245590394</c:v>
                </c:pt>
                <c:pt idx="22">
                  <c:v>715.0305460786991</c:v>
                </c:pt>
                <c:pt idx="23">
                  <c:v>750.78207338263417</c:v>
                </c:pt>
                <c:pt idx="24">
                  <c:v>788.32117705176586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62624"/>
        <c:axId val="57556352"/>
      </c:lineChart>
      <c:valAx>
        <c:axId val="57556352"/>
        <c:scaling>
          <c:orientation val="minMax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minorGridlines>
          <c:spPr>
            <a:ln w="9528">
              <a:solidFill>
                <a:srgbClr val="B7B7B7"/>
              </a:solidFill>
              <a:prstDash val="solid"/>
              <a:round/>
            </a:ln>
          </c:spPr>
        </c:minorGridlines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/>
                  <a:t>Monatsbeitrag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&quot; &quot;#,##0&quot; &quot;[$€-407]&quot; &quot;;&quot;-&quot;#,##0&quot; &quot;[$€-407]&quot; &quot;;&quot; -&quot;00&quot; &quot;[$€-407]&quot; &quot;;&quot; &quot;" sourceLinked="0"/>
        <c:majorTickMark val="none"/>
        <c:minorTickMark val="in"/>
        <c:tickLblPos val="nextTo"/>
        <c:spPr>
          <a:noFill/>
          <a:ln w="9528">
            <a:solidFill>
              <a:srgbClr val="000000"/>
            </a:solidFill>
            <a:prstDash val="solid"/>
            <a:round/>
          </a:ln>
        </c:spPr>
        <c:crossAx val="57562624"/>
        <c:crosses val="autoZero"/>
        <c:crossBetween val="between"/>
        <c:majorUnit val="100"/>
        <c:minorUnit val="50"/>
      </c:valAx>
      <c:catAx>
        <c:axId val="57562624"/>
        <c:scaling>
          <c:orientation val="minMax"/>
        </c:scaling>
        <c:delete val="0"/>
        <c:axPos val="b"/>
        <c:minorGridlines>
          <c:spPr>
            <a:ln w="9528">
              <a:solidFill>
                <a:srgbClr val="9AB5E4"/>
              </a:solidFill>
              <a:prstDash val="solid"/>
              <a:round/>
            </a:ln>
          </c:spPr>
        </c:minorGridlines>
        <c:title>
          <c:tx>
            <c:rich>
              <a:bodyPr/>
              <a:lstStyle/>
              <a:p>
                <a:pPr algn="ctr">
                  <a:defRPr/>
                </a:pPr>
                <a:r>
                  <a:rPr lang="de-DE"/>
                  <a:t>Anspardauer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noFill/>
          <a:ln w="6345">
            <a:solidFill>
              <a:srgbClr val="000000"/>
            </a:solidFill>
            <a:prstDash val="solid"/>
            <a:round/>
          </a:ln>
        </c:spPr>
        <c:crossAx val="57556352"/>
        <c:crosses val="autoZero"/>
        <c:auto val="1"/>
        <c:lblAlgn val="ctr"/>
        <c:lblOffset val="100"/>
        <c:tickLblSkip val="1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de-DE" sz="1000" b="0" i="0" u="none" strike="noStrike" kern="1200" baseline="0">
          <a:solidFill>
            <a:srgbClr val="000000"/>
          </a:solidFill>
          <a:latin typeface="Cambria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de-DE" sz="12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de-DE" sz="12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Beispielhafte Darstellung einer Rürup Rente in der Ansparphase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0"/>
      <c:rotY val="0"/>
      <c:rAngAx val="0"/>
      <c:perspective val="6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de-DE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Tabelle1!$C$33:$E$33</c:f>
              <c:strCache>
                <c:ptCount val="3"/>
                <c:pt idx="0">
                  <c:v>kumulierter Beitrag Netto</c:v>
                </c:pt>
                <c:pt idx="1">
                  <c:v>ESt./Soli Entlastung</c:v>
                </c:pt>
                <c:pt idx="2">
                  <c:v>kumulierter Beitrag</c:v>
                </c:pt>
              </c:strCache>
            </c:strRef>
          </c:cat>
          <c:val>
            <c:numRef>
              <c:f>Tabelle1!$C$34:$E$34</c:f>
              <c:numCache>
                <c:formatCode>" "#,##0" "[$€-407]" ";"-"#,##0" "[$€-407]" ";" -"00" "[$€-407]" ";" "@" "</c:formatCode>
                <c:ptCount val="3"/>
                <c:pt idx="2">
                  <c:v>245601.74143341207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  <a:ln>
              <a:noFill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de-DE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Tabelle1!$C$33:$E$33</c:f>
              <c:strCache>
                <c:ptCount val="3"/>
                <c:pt idx="0">
                  <c:v>kumulierter Beitrag Netto</c:v>
                </c:pt>
                <c:pt idx="1">
                  <c:v>ESt./Soli Entlastung</c:v>
                </c:pt>
                <c:pt idx="2">
                  <c:v>kumulierter Beitrag</c:v>
                </c:pt>
              </c:strCache>
            </c:strRef>
          </c:cat>
          <c:val>
            <c:numRef>
              <c:f>Tabelle1!$C$35:$E$35</c:f>
              <c:numCache>
                <c:formatCode>" "#,##0" "[$€-407]" ";"-"#,##0" "[$€-407]" ";" -"00" "[$€-407]" ";" "@" "</c:formatCode>
                <c:ptCount val="3"/>
                <c:pt idx="1">
                  <c:v>100868.29365990884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de-DE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Tabelle1!$C$33:$E$33</c:f>
              <c:strCache>
                <c:ptCount val="3"/>
                <c:pt idx="0">
                  <c:v>kumulierter Beitrag Netto</c:v>
                </c:pt>
                <c:pt idx="1">
                  <c:v>ESt./Soli Entlastung</c:v>
                </c:pt>
                <c:pt idx="2">
                  <c:v>kumulierter Beitrag</c:v>
                </c:pt>
              </c:strCache>
            </c:strRef>
          </c:cat>
          <c:val>
            <c:numRef>
              <c:f>Tabelle1!$C$36:$E$36</c:f>
              <c:numCache>
                <c:formatCode>0%</c:formatCode>
                <c:ptCount val="3"/>
                <c:pt idx="0" formatCode="&quot; &quot;#,##0&quot; &quot;[$€-407]&quot; &quot;;&quot;-&quot;#,##0&quot; &quot;[$€-407]&quot; &quot;;&quot; -&quot;00&quot; &quot;[$€-407]&quot; &quot;;&quot; &quot;@&quot; &quot;">
                  <c:v>144733.44777350323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shape val="box"/>
        <c:axId val="63442304"/>
        <c:axId val="63440768"/>
        <c:axId val="0"/>
      </c:bar3DChart>
      <c:valAx>
        <c:axId val="63440768"/>
        <c:scaling>
          <c:orientation val="minMax"/>
        </c:scaling>
        <c:delete val="0"/>
        <c:axPos val="b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numFmt formatCode="&quot; &quot;#,##0&quot; &quot;[$€-407]&quot; &quot;;&quot;-&quot;#,##0&quot; &quot;[$€-407]&quot; &quot;;&quot; -&quot;00&quot; &quot;[$€-407]&quot; &quot;;&quot; &quot;@&quot; &quot;" sourceLinked="1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de-DE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63442304"/>
        <c:crosses val="autoZero"/>
        <c:crossBetween val="between"/>
      </c:valAx>
      <c:catAx>
        <c:axId val="634423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de-DE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634407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de-DE" sz="1000" b="0" i="0" u="none" strike="noStrike" kern="1200" baseline="0">
          <a:solidFill>
            <a:srgbClr val="000000"/>
          </a:solidFill>
          <a:latin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19783" y="7402814"/>
    <xdr:ext cx="14268441" cy="6084586"/>
    <xdr:graphicFrame macro="">
      <xdr:nvGraphicFramePr>
        <xdr:cNvPr id="2" name="Diagramm 6" descr="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228600</xdr:colOff>
      <xdr:row>44</xdr:row>
      <xdr:rowOff>33339</xdr:rowOff>
    </xdr:from>
    <xdr:ext cx="5257800" cy="2743200"/>
    <xdr:graphicFrame macro="">
      <xdr:nvGraphicFramePr>
        <xdr:cNvPr id="3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0.01847</cdr:y>
    </cdr:from>
    <cdr:to>
      <cdr:x>1</cdr:x>
      <cdr:y>0.06544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112412"/>
          <a:ext cx="14268441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400"/>
            <a:t>detaillierte,  beispielhafte Darstellung einer Rürup Rente in der Ansparphase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J40" workbookViewId="0">
      <selection activeCell="S2" sqref="S2"/>
    </sheetView>
  </sheetViews>
  <sheetFormatPr baseColWidth="10" defaultColWidth="14.85546875" defaultRowHeight="15" x14ac:dyDescent="0.25"/>
  <cols>
    <col min="1" max="1" width="6.85546875" style="8" customWidth="1"/>
    <col min="2" max="2" width="6" style="8" customWidth="1"/>
    <col min="3" max="3" width="11.5703125" customWidth="1"/>
    <col min="4" max="4" width="9.85546875" style="51" customWidth="1"/>
    <col min="5" max="5" width="12.42578125" style="8" customWidth="1"/>
    <col min="6" max="6" width="6" customWidth="1"/>
    <col min="7" max="7" width="9.85546875" customWidth="1"/>
    <col min="8" max="8" width="11.42578125" customWidth="1"/>
    <col min="9" max="9" width="13" customWidth="1"/>
    <col min="10" max="10" width="11.140625" customWidth="1"/>
    <col min="11" max="11" width="10.7109375" customWidth="1"/>
    <col min="12" max="12" width="12.7109375" customWidth="1"/>
    <col min="13" max="13" width="11.140625" customWidth="1"/>
    <col min="14" max="14" width="10.85546875" customWidth="1"/>
    <col min="15" max="15" width="11.140625" customWidth="1"/>
    <col min="16" max="16" width="11.7109375" customWidth="1"/>
    <col min="17" max="17" width="10.85546875" customWidth="1"/>
    <col min="18" max="18" width="11.42578125" customWidth="1"/>
    <col min="19" max="19" width="8.42578125" customWidth="1"/>
    <col min="20" max="20" width="9.42578125" customWidth="1"/>
    <col min="21" max="22" width="12" customWidth="1"/>
    <col min="23" max="23" width="9.7109375" customWidth="1"/>
    <col min="24" max="24" width="10.85546875" customWidth="1"/>
    <col min="25" max="25" width="10.7109375" customWidth="1"/>
    <col min="26" max="27" width="8.42578125" customWidth="1"/>
    <col min="28" max="28" width="9.5703125" customWidth="1"/>
    <col min="29" max="29" width="7.7109375" customWidth="1"/>
    <col min="30" max="30" width="8.28515625" customWidth="1"/>
    <col min="31" max="31" width="10" customWidth="1"/>
    <col min="32" max="32" width="5.7109375" customWidth="1"/>
    <col min="33" max="33" width="14.85546875" customWidth="1"/>
  </cols>
  <sheetData>
    <row r="1" spans="1:34" s="2" customFormat="1" ht="86.4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2" t="s">
        <v>22</v>
      </c>
      <c r="X1" s="2" t="s">
        <v>13</v>
      </c>
      <c r="Y1" s="2" t="s">
        <v>23</v>
      </c>
      <c r="Z1" s="3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1</v>
      </c>
    </row>
    <row r="2" spans="1:34" s="5" customFormat="1" ht="12" customHeight="1" x14ac:dyDescent="0.25">
      <c r="A2" s="4"/>
      <c r="B2" s="4"/>
      <c r="D2" s="54">
        <v>0.05</v>
      </c>
      <c r="E2" s="4"/>
      <c r="F2" s="55">
        <v>2.8000000000000001E-2</v>
      </c>
      <c r="N2" s="56">
        <v>1.7999999999999999E-2</v>
      </c>
      <c r="R2" s="6"/>
      <c r="S2" s="55">
        <v>0.43</v>
      </c>
      <c r="T2" s="7"/>
      <c r="U2" s="8" t="s">
        <v>30</v>
      </c>
      <c r="V2" s="9"/>
      <c r="AD2" s="10">
        <f>N2</f>
        <v>1.7999999999999999E-2</v>
      </c>
    </row>
    <row r="3" spans="1:34" ht="4.9000000000000004" customHeight="1" x14ac:dyDescent="0.25">
      <c r="A3" s="11"/>
      <c r="B3" s="11"/>
      <c r="C3" s="8"/>
      <c r="D3" s="12"/>
      <c r="F3" s="13"/>
      <c r="G3" s="14"/>
      <c r="H3" s="14"/>
      <c r="I3" s="14"/>
      <c r="M3" s="14"/>
      <c r="N3" s="14"/>
      <c r="O3" s="14"/>
      <c r="P3" s="14"/>
      <c r="Q3" s="14"/>
      <c r="R3" s="14"/>
      <c r="S3" s="15"/>
      <c r="T3" s="15"/>
      <c r="U3" s="15"/>
      <c r="V3" s="16"/>
      <c r="W3" s="14"/>
      <c r="X3" s="14"/>
      <c r="Y3" s="14"/>
      <c r="Z3" s="14"/>
      <c r="AA3" s="14"/>
      <c r="AB3" s="14"/>
      <c r="AD3" s="17"/>
    </row>
    <row r="4" spans="1:34" ht="12" customHeight="1" x14ac:dyDescent="0.25">
      <c r="A4" s="11">
        <v>2011</v>
      </c>
      <c r="B4" s="11">
        <v>1</v>
      </c>
      <c r="C4" s="8">
        <f>428.83*12</f>
        <v>5145.96</v>
      </c>
      <c r="D4" s="12">
        <f>D2</f>
        <v>0.05</v>
      </c>
      <c r="E4" s="8">
        <f>C4</f>
        <v>5145.96</v>
      </c>
      <c r="F4" s="18">
        <f>F2</f>
        <v>2.8000000000000001E-2</v>
      </c>
      <c r="G4" s="14">
        <f t="shared" ref="G4:G28" si="0">E4*F4</f>
        <v>144.08688000000001</v>
      </c>
      <c r="H4" s="14">
        <f>G4</f>
        <v>144.08688000000001</v>
      </c>
      <c r="I4" s="14">
        <f t="shared" ref="I4:I28" si="1">H4+E4</f>
        <v>5290.0468799999999</v>
      </c>
      <c r="M4" s="14">
        <f t="shared" ref="M4:M28" si="2">C4/12</f>
        <v>428.83</v>
      </c>
      <c r="N4" s="19">
        <f t="shared" ref="N4:N28" si="3">M4*AE4</f>
        <v>-7.718939999999999</v>
      </c>
      <c r="O4" s="20">
        <f t="shared" ref="O4:O28" si="4">M4+N4</f>
        <v>421.11106000000001</v>
      </c>
      <c r="P4" s="14">
        <f t="shared" ref="P4:P28" si="5">C4</f>
        <v>5145.96</v>
      </c>
      <c r="Q4" s="21">
        <v>0.72</v>
      </c>
      <c r="R4" s="14">
        <f t="shared" ref="R4:R28" si="6">P4*Q4</f>
        <v>3705.0911999999998</v>
      </c>
      <c r="S4" s="15">
        <f>S2*105.5%</f>
        <v>0.45364999999999994</v>
      </c>
      <c r="T4" s="8">
        <f t="shared" ref="T4:T28" si="7">(R4*S4)/12</f>
        <v>140.06788523999998</v>
      </c>
      <c r="U4" s="8">
        <f t="shared" ref="U4:U28" si="8">(M4-T4)</f>
        <v>288.76211476000003</v>
      </c>
      <c r="V4" s="22">
        <f t="shared" ref="V4:V28" si="9">U4+(U4*AE4)</f>
        <v>283.56439669432001</v>
      </c>
      <c r="W4" s="14">
        <f t="shared" ref="W4:W28" si="10">M4</f>
        <v>428.83</v>
      </c>
      <c r="X4" s="14">
        <f t="shared" ref="X4:X28" si="11">-N4</f>
        <v>7.718939999999999</v>
      </c>
      <c r="Y4" s="14">
        <f t="shared" ref="Y4:Y28" si="12">W4-X4</f>
        <v>421.11106000000001</v>
      </c>
      <c r="Z4" s="14">
        <f>O32</f>
        <v>550.17971454645328</v>
      </c>
      <c r="AA4" s="14">
        <f>V32</f>
        <v>327.57303918318974</v>
      </c>
      <c r="AB4" s="14">
        <v>0</v>
      </c>
      <c r="AC4" s="23">
        <f t="shared" ref="AC4:AC27" si="13">AD4/AD5</f>
        <v>0.98231827111984271</v>
      </c>
      <c r="AD4" s="17">
        <f>-AD2</f>
        <v>-1.7999999999999999E-2</v>
      </c>
      <c r="AE4" s="17">
        <f>AD4</f>
        <v>-1.7999999999999999E-2</v>
      </c>
      <c r="AF4">
        <v>1</v>
      </c>
      <c r="AG4" s="24"/>
      <c r="AH4" s="24"/>
    </row>
    <row r="5" spans="1:34" ht="12" customHeight="1" x14ac:dyDescent="0.25">
      <c r="A5" s="11">
        <f t="shared" ref="A5:A28" si="14">A4+1</f>
        <v>2012</v>
      </c>
      <c r="B5" s="11">
        <f t="shared" ref="B5:B28" si="15">B4+1</f>
        <v>2</v>
      </c>
      <c r="C5" s="8">
        <f t="shared" ref="C5:C28" si="16">C4*(100%+D5)</f>
        <v>5403.2580000000007</v>
      </c>
      <c r="D5" s="12">
        <f t="shared" ref="D5:D28" si="17">D4</f>
        <v>0.05</v>
      </c>
      <c r="E5" s="8">
        <f t="shared" ref="E5:E28" si="18">C5+E4</f>
        <v>10549.218000000001</v>
      </c>
      <c r="F5" s="18">
        <f t="shared" ref="F5:F28" si="19">F4</f>
        <v>2.8000000000000001E-2</v>
      </c>
      <c r="G5" s="14">
        <f t="shared" si="0"/>
        <v>295.37810400000001</v>
      </c>
      <c r="H5" s="14">
        <f>SUM(G4:G5)</f>
        <v>439.46498400000002</v>
      </c>
      <c r="I5" s="14">
        <f t="shared" si="1"/>
        <v>10988.682984000001</v>
      </c>
      <c r="M5" s="14">
        <f t="shared" si="2"/>
        <v>450.27150000000006</v>
      </c>
      <c r="N5" s="19">
        <f t="shared" si="3"/>
        <v>-16.355661966</v>
      </c>
      <c r="O5" s="20">
        <f t="shared" si="4"/>
        <v>433.91583803400005</v>
      </c>
      <c r="P5" s="14">
        <f t="shared" si="5"/>
        <v>5403.2580000000007</v>
      </c>
      <c r="Q5" s="21">
        <f t="shared" ref="Q5:Q18" si="20">Q4+2%</f>
        <v>0.74</v>
      </c>
      <c r="R5" s="14">
        <f t="shared" si="6"/>
        <v>3998.4109200000003</v>
      </c>
      <c r="S5" s="15">
        <f t="shared" ref="S5:S12" si="21">S4</f>
        <v>0.45364999999999994</v>
      </c>
      <c r="T5" s="8">
        <f t="shared" si="7"/>
        <v>151.1565928215</v>
      </c>
      <c r="U5" s="8">
        <f t="shared" si="8"/>
        <v>299.11490717850006</v>
      </c>
      <c r="V5" s="22">
        <f t="shared" si="9"/>
        <v>288.24985729014821</v>
      </c>
      <c r="W5" s="14">
        <f t="shared" si="10"/>
        <v>450.27150000000006</v>
      </c>
      <c r="X5" s="14">
        <f t="shared" si="11"/>
        <v>16.355661966</v>
      </c>
      <c r="Y5" s="14">
        <f t="shared" si="12"/>
        <v>433.91583803400005</v>
      </c>
      <c r="Z5" s="14">
        <f t="shared" ref="Z5:Z28" si="22">Z4</f>
        <v>550.17971454645328</v>
      </c>
      <c r="AA5" s="14">
        <f t="shared" ref="AA5:AA28" si="23">AA4</f>
        <v>327.57303918318974</v>
      </c>
      <c r="AB5" s="14">
        <v>0</v>
      </c>
      <c r="AC5" s="23">
        <f t="shared" si="13"/>
        <v>0.98231827111984293</v>
      </c>
      <c r="AD5" s="17">
        <f>AD4*(100%+AD2)</f>
        <v>-1.8324E-2</v>
      </c>
      <c r="AE5" s="21">
        <f>SUM(AD4:AD5)</f>
        <v>-3.6323999999999995E-2</v>
      </c>
      <c r="AF5">
        <f t="shared" ref="AF5:AF28" si="24">AF4+1</f>
        <v>2</v>
      </c>
      <c r="AG5" s="24"/>
      <c r="AH5" s="24"/>
    </row>
    <row r="6" spans="1:34" ht="12" customHeight="1" x14ac:dyDescent="0.25">
      <c r="A6" s="11">
        <f t="shared" si="14"/>
        <v>2013</v>
      </c>
      <c r="B6" s="11">
        <f t="shared" si="15"/>
        <v>3</v>
      </c>
      <c r="C6" s="8">
        <f t="shared" si="16"/>
        <v>5673.420900000001</v>
      </c>
      <c r="D6" s="12">
        <f t="shared" si="17"/>
        <v>0.05</v>
      </c>
      <c r="E6" s="8">
        <f t="shared" si="18"/>
        <v>16222.638900000002</v>
      </c>
      <c r="F6" s="18">
        <f t="shared" si="19"/>
        <v>2.8000000000000001E-2</v>
      </c>
      <c r="G6" s="14">
        <f t="shared" si="0"/>
        <v>454.23388920000008</v>
      </c>
      <c r="H6" s="14">
        <f>SUM(G4:G6)</f>
        <v>893.69887320000009</v>
      </c>
      <c r="I6" s="14">
        <f t="shared" si="1"/>
        <v>17116.337773200001</v>
      </c>
      <c r="M6" s="14">
        <f t="shared" si="2"/>
        <v>472.78507500000006</v>
      </c>
      <c r="N6" s="19">
        <f t="shared" si="3"/>
        <v>-25.992698425457398</v>
      </c>
      <c r="O6" s="20">
        <f t="shared" si="4"/>
        <v>446.79237657454269</v>
      </c>
      <c r="P6" s="14">
        <f t="shared" si="5"/>
        <v>5673.420900000001</v>
      </c>
      <c r="Q6" s="21">
        <f t="shared" si="20"/>
        <v>0.76</v>
      </c>
      <c r="R6" s="14">
        <f t="shared" si="6"/>
        <v>4311.7998840000009</v>
      </c>
      <c r="S6" s="15">
        <f t="shared" si="21"/>
        <v>0.45364999999999994</v>
      </c>
      <c r="T6" s="8">
        <f t="shared" si="7"/>
        <v>163.00400144805002</v>
      </c>
      <c r="U6" s="8">
        <f t="shared" si="8"/>
        <v>309.78107355195004</v>
      </c>
      <c r="V6" s="22">
        <f t="shared" si="9"/>
        <v>292.7499817334313</v>
      </c>
      <c r="W6" s="14">
        <f t="shared" si="10"/>
        <v>472.78507500000006</v>
      </c>
      <c r="X6" s="14">
        <f t="shared" si="11"/>
        <v>25.992698425457398</v>
      </c>
      <c r="Y6" s="14">
        <f t="shared" si="12"/>
        <v>446.79237657454269</v>
      </c>
      <c r="Z6" s="14">
        <f t="shared" si="22"/>
        <v>550.17971454645328</v>
      </c>
      <c r="AA6" s="14">
        <f t="shared" si="23"/>
        <v>327.57303918318974</v>
      </c>
      <c r="AB6" s="14">
        <v>0</v>
      </c>
      <c r="AC6" s="23">
        <f t="shared" si="13"/>
        <v>0.98231827111984282</v>
      </c>
      <c r="AD6" s="17">
        <f>AD5*(100%+AD2)</f>
        <v>-1.8653831999999999E-2</v>
      </c>
      <c r="AE6" s="21">
        <f>SUM(AD4:AD6)</f>
        <v>-5.497783199999999E-2</v>
      </c>
      <c r="AF6">
        <f t="shared" si="24"/>
        <v>3</v>
      </c>
      <c r="AG6" s="24"/>
      <c r="AH6" s="24"/>
    </row>
    <row r="7" spans="1:34" ht="12" customHeight="1" x14ac:dyDescent="0.25">
      <c r="A7" s="11">
        <f t="shared" si="14"/>
        <v>2014</v>
      </c>
      <c r="B7" s="11">
        <f t="shared" si="15"/>
        <v>4</v>
      </c>
      <c r="C7" s="8">
        <f t="shared" si="16"/>
        <v>5957.091945000001</v>
      </c>
      <c r="D7" s="12">
        <f t="shared" si="17"/>
        <v>0.05</v>
      </c>
      <c r="E7" s="8">
        <f t="shared" si="18"/>
        <v>22179.730845000002</v>
      </c>
      <c r="F7" s="18">
        <f t="shared" si="19"/>
        <v>2.8000000000000001E-2</v>
      </c>
      <c r="G7" s="14">
        <f t="shared" si="0"/>
        <v>621.03246366000008</v>
      </c>
      <c r="H7" s="14">
        <f>SUM(G4:G7)</f>
        <v>1514.7313368600003</v>
      </c>
      <c r="I7" s="14">
        <f t="shared" si="1"/>
        <v>23694.462181860003</v>
      </c>
      <c r="M7" s="14">
        <f t="shared" si="2"/>
        <v>496.42432875000009</v>
      </c>
      <c r="N7" s="19">
        <f t="shared" si="3"/>
        <v>-36.719233264471413</v>
      </c>
      <c r="O7" s="20">
        <f t="shared" si="4"/>
        <v>459.70509548552866</v>
      </c>
      <c r="P7" s="14">
        <f t="shared" si="5"/>
        <v>5957.091945000001</v>
      </c>
      <c r="Q7" s="21">
        <f t="shared" si="20"/>
        <v>0.78</v>
      </c>
      <c r="R7" s="14">
        <f t="shared" si="6"/>
        <v>4646.5317171000006</v>
      </c>
      <c r="S7" s="15">
        <f t="shared" si="21"/>
        <v>0.45364999999999994</v>
      </c>
      <c r="T7" s="8">
        <f t="shared" si="7"/>
        <v>175.65825945520123</v>
      </c>
      <c r="U7" s="8">
        <f t="shared" si="8"/>
        <v>320.76606929479885</v>
      </c>
      <c r="V7" s="22">
        <f t="shared" si="9"/>
        <v>297.03982656326087</v>
      </c>
      <c r="W7" s="14">
        <f t="shared" si="10"/>
        <v>496.42432875000009</v>
      </c>
      <c r="X7" s="14">
        <f t="shared" si="11"/>
        <v>36.719233264471413</v>
      </c>
      <c r="Y7" s="14">
        <f t="shared" si="12"/>
        <v>459.70509548552866</v>
      </c>
      <c r="Z7" s="14">
        <f t="shared" si="22"/>
        <v>550.17971454645328</v>
      </c>
      <c r="AA7" s="14">
        <f t="shared" si="23"/>
        <v>327.57303918318974</v>
      </c>
      <c r="AB7" s="14">
        <v>0</v>
      </c>
      <c r="AC7" s="23">
        <f t="shared" si="13"/>
        <v>0.98231827111984282</v>
      </c>
      <c r="AD7" s="17">
        <f>AD6*(100%+AD2)</f>
        <v>-1.8989600975999998E-2</v>
      </c>
      <c r="AE7" s="21">
        <f>SUM(AD4:AD7)</f>
        <v>-7.3967432975999989E-2</v>
      </c>
      <c r="AF7">
        <f t="shared" si="24"/>
        <v>4</v>
      </c>
      <c r="AG7" s="24"/>
      <c r="AH7" s="24"/>
    </row>
    <row r="8" spans="1:34" ht="12" customHeight="1" x14ac:dyDescent="0.25">
      <c r="A8" s="25">
        <f t="shared" si="14"/>
        <v>2015</v>
      </c>
      <c r="B8" s="25">
        <f t="shared" si="15"/>
        <v>5</v>
      </c>
      <c r="C8" s="26">
        <f t="shared" si="16"/>
        <v>6254.9465422500016</v>
      </c>
      <c r="D8" s="27">
        <f t="shared" si="17"/>
        <v>0.05</v>
      </c>
      <c r="E8" s="26">
        <f t="shared" si="18"/>
        <v>28434.677387250005</v>
      </c>
      <c r="F8" s="28">
        <f t="shared" si="19"/>
        <v>2.8000000000000001E-2</v>
      </c>
      <c r="G8" s="29">
        <f t="shared" si="0"/>
        <v>796.1709668430002</v>
      </c>
      <c r="H8" s="29">
        <f>SUM(G4:G8)</f>
        <v>2310.9023037030006</v>
      </c>
      <c r="I8" s="29">
        <f t="shared" si="1"/>
        <v>30745.579690953007</v>
      </c>
      <c r="J8" s="30"/>
      <c r="K8" s="30"/>
      <c r="L8" s="30"/>
      <c r="M8" s="29">
        <f t="shared" si="2"/>
        <v>521.24554518750017</v>
      </c>
      <c r="N8" s="31">
        <f t="shared" si="3"/>
        <v>-48.631608249768504</v>
      </c>
      <c r="O8" s="32">
        <f t="shared" si="4"/>
        <v>472.61393693773164</v>
      </c>
      <c r="P8" s="29">
        <f t="shared" si="5"/>
        <v>6254.9465422500016</v>
      </c>
      <c r="Q8" s="33">
        <f t="shared" si="20"/>
        <v>0.8</v>
      </c>
      <c r="R8" s="29">
        <f t="shared" si="6"/>
        <v>5003.9572338000016</v>
      </c>
      <c r="S8" s="34">
        <f t="shared" si="21"/>
        <v>0.45364999999999994</v>
      </c>
      <c r="T8" s="26">
        <f t="shared" si="7"/>
        <v>189.17043325944755</v>
      </c>
      <c r="U8" s="26">
        <f t="shared" si="8"/>
        <v>332.07511192805259</v>
      </c>
      <c r="V8" s="35">
        <f t="shared" si="9"/>
        <v>301.09288694429006</v>
      </c>
      <c r="W8" s="29">
        <f t="shared" si="10"/>
        <v>521.24554518750017</v>
      </c>
      <c r="X8" s="29">
        <f t="shared" si="11"/>
        <v>48.631608249768504</v>
      </c>
      <c r="Y8" s="29">
        <f t="shared" si="12"/>
        <v>472.61393693773164</v>
      </c>
      <c r="Z8" s="29">
        <f t="shared" si="22"/>
        <v>550.17971454645328</v>
      </c>
      <c r="AA8" s="29">
        <f t="shared" si="23"/>
        <v>327.57303918318974</v>
      </c>
      <c r="AB8" s="29">
        <v>0</v>
      </c>
      <c r="AC8" s="36">
        <f t="shared" si="13"/>
        <v>0.98231827111984282</v>
      </c>
      <c r="AD8" s="37">
        <f>AD7*(100%+AD2)</f>
        <v>-1.9331413793567998E-2</v>
      </c>
      <c r="AE8" s="33">
        <f>SUM(AD4:AD8)</f>
        <v>-9.3298846769567984E-2</v>
      </c>
      <c r="AF8" s="30">
        <f t="shared" si="24"/>
        <v>5</v>
      </c>
      <c r="AG8" s="24"/>
      <c r="AH8" s="24"/>
    </row>
    <row r="9" spans="1:34" ht="12" customHeight="1" x14ac:dyDescent="0.25">
      <c r="A9" s="11">
        <f t="shared" si="14"/>
        <v>2016</v>
      </c>
      <c r="B9" s="11">
        <f t="shared" si="15"/>
        <v>6</v>
      </c>
      <c r="C9" s="8">
        <f t="shared" si="16"/>
        <v>6567.6938693625016</v>
      </c>
      <c r="D9" s="12">
        <f t="shared" si="17"/>
        <v>0.05</v>
      </c>
      <c r="E9" s="8">
        <f t="shared" si="18"/>
        <v>35002.371256612503</v>
      </c>
      <c r="F9" s="18">
        <f t="shared" si="19"/>
        <v>2.8000000000000001E-2</v>
      </c>
      <c r="G9" s="14">
        <f t="shared" si="0"/>
        <v>980.0663951851501</v>
      </c>
      <c r="H9" s="14">
        <f>SUM(G4:G9)</f>
        <v>3290.9686988881508</v>
      </c>
      <c r="I9" s="14">
        <f t="shared" si="1"/>
        <v>38293.339955500654</v>
      </c>
      <c r="M9" s="14">
        <f t="shared" si="2"/>
        <v>547.30782244687509</v>
      </c>
      <c r="N9" s="19">
        <f t="shared" si="3"/>
        <v>-61.833866862221299</v>
      </c>
      <c r="O9" s="20">
        <f t="shared" si="4"/>
        <v>485.47395558465382</v>
      </c>
      <c r="P9" s="14">
        <f t="shared" si="5"/>
        <v>6567.6938693625016</v>
      </c>
      <c r="Q9" s="21">
        <f t="shared" si="20"/>
        <v>0.82000000000000006</v>
      </c>
      <c r="R9" s="14">
        <f t="shared" si="6"/>
        <v>5385.5089728772518</v>
      </c>
      <c r="S9" s="15">
        <f t="shared" si="21"/>
        <v>0.45364999999999994</v>
      </c>
      <c r="T9" s="8">
        <f t="shared" si="7"/>
        <v>203.59467879548041</v>
      </c>
      <c r="U9" s="8">
        <f t="shared" si="8"/>
        <v>343.71314365139472</v>
      </c>
      <c r="V9" s="22">
        <f t="shared" si="9"/>
        <v>304.88104242485167</v>
      </c>
      <c r="W9" s="14">
        <f t="shared" si="10"/>
        <v>547.30782244687509</v>
      </c>
      <c r="X9" s="14">
        <f t="shared" si="11"/>
        <v>61.833866862221299</v>
      </c>
      <c r="Y9" s="14">
        <f t="shared" si="12"/>
        <v>485.47395558465382</v>
      </c>
      <c r="Z9" s="14">
        <f t="shared" si="22"/>
        <v>550.17971454645328</v>
      </c>
      <c r="AA9" s="14">
        <f t="shared" si="23"/>
        <v>327.57303918318974</v>
      </c>
      <c r="AB9" s="14">
        <v>0</v>
      </c>
      <c r="AC9" s="23">
        <f t="shared" si="13"/>
        <v>0.98231827111984271</v>
      </c>
      <c r="AD9" s="17">
        <f>AD8*(100%+AD2)</f>
        <v>-1.9679379241852223E-2</v>
      </c>
      <c r="AE9" s="21">
        <f>SUM(AD4:AD9)</f>
        <v>-0.11297822601142021</v>
      </c>
      <c r="AF9">
        <f t="shared" si="24"/>
        <v>6</v>
      </c>
      <c r="AG9" s="24"/>
      <c r="AH9" s="24"/>
    </row>
    <row r="10" spans="1:34" ht="12" customHeight="1" x14ac:dyDescent="0.25">
      <c r="A10" s="11">
        <f t="shared" si="14"/>
        <v>2017</v>
      </c>
      <c r="B10" s="11">
        <f t="shared" si="15"/>
        <v>7</v>
      </c>
      <c r="C10" s="8">
        <f t="shared" si="16"/>
        <v>6896.0785628306267</v>
      </c>
      <c r="D10" s="12">
        <f t="shared" si="17"/>
        <v>0.05</v>
      </c>
      <c r="E10" s="8">
        <f t="shared" si="18"/>
        <v>41898.449819443129</v>
      </c>
      <c r="F10" s="18">
        <f t="shared" si="19"/>
        <v>2.8000000000000001E-2</v>
      </c>
      <c r="G10" s="14">
        <f t="shared" si="0"/>
        <v>1173.1565949444077</v>
      </c>
      <c r="H10" s="14">
        <f>SUM(G4:G10)</f>
        <v>4464.1252938325588</v>
      </c>
      <c r="I10" s="14">
        <f t="shared" si="1"/>
        <v>46362.575113275685</v>
      </c>
      <c r="M10" s="14">
        <f t="shared" si="2"/>
        <v>574.67321356921889</v>
      </c>
      <c r="N10" s="19">
        <f t="shared" si="3"/>
        <v>-76.438338133274286</v>
      </c>
      <c r="O10" s="20">
        <f t="shared" si="4"/>
        <v>498.23487543594462</v>
      </c>
      <c r="P10" s="14">
        <f t="shared" si="5"/>
        <v>6896.0785628306267</v>
      </c>
      <c r="Q10" s="21">
        <f t="shared" si="20"/>
        <v>0.84000000000000008</v>
      </c>
      <c r="R10" s="14">
        <f t="shared" si="6"/>
        <v>5792.7059927777273</v>
      </c>
      <c r="S10" s="15">
        <f t="shared" si="21"/>
        <v>0.45364999999999994</v>
      </c>
      <c r="T10" s="8">
        <f t="shared" si="7"/>
        <v>218.98842280196797</v>
      </c>
      <c r="U10" s="8">
        <f t="shared" si="8"/>
        <v>355.68479076725089</v>
      </c>
      <c r="V10" s="22">
        <f t="shared" si="9"/>
        <v>308.37450439307088</v>
      </c>
      <c r="W10" s="14">
        <f t="shared" si="10"/>
        <v>574.67321356921889</v>
      </c>
      <c r="X10" s="14">
        <f t="shared" si="11"/>
        <v>76.438338133274286</v>
      </c>
      <c r="Y10" s="14">
        <f t="shared" si="12"/>
        <v>498.23487543594462</v>
      </c>
      <c r="Z10" s="14">
        <f t="shared" si="22"/>
        <v>550.17971454645328</v>
      </c>
      <c r="AA10" s="14">
        <f t="shared" si="23"/>
        <v>327.57303918318974</v>
      </c>
      <c r="AB10" s="14">
        <v>0</v>
      </c>
      <c r="AC10" s="23">
        <f t="shared" si="13"/>
        <v>0.98231827111984271</v>
      </c>
      <c r="AD10" s="17">
        <f>AD9*(100%+AD2)</f>
        <v>-2.0033608068205564E-2</v>
      </c>
      <c r="AE10" s="21">
        <f>SUM(AD4:AD10)</f>
        <v>-0.13301183407962577</v>
      </c>
      <c r="AF10">
        <f t="shared" si="24"/>
        <v>7</v>
      </c>
      <c r="AG10" s="24"/>
      <c r="AH10" s="24"/>
    </row>
    <row r="11" spans="1:34" ht="12" customHeight="1" x14ac:dyDescent="0.25">
      <c r="A11" s="11">
        <f t="shared" si="14"/>
        <v>2018</v>
      </c>
      <c r="B11" s="11">
        <f t="shared" si="15"/>
        <v>8</v>
      </c>
      <c r="C11" s="8">
        <f t="shared" si="16"/>
        <v>7240.8824909721579</v>
      </c>
      <c r="D11" s="12">
        <f t="shared" si="17"/>
        <v>0.05</v>
      </c>
      <c r="E11" s="8">
        <f t="shared" si="18"/>
        <v>49139.332310415288</v>
      </c>
      <c r="F11" s="18">
        <f t="shared" si="19"/>
        <v>2.8000000000000001E-2</v>
      </c>
      <c r="G11" s="14">
        <f t="shared" si="0"/>
        <v>1375.9013046916282</v>
      </c>
      <c r="H11" s="14">
        <f>SUM(G4:G11)</f>
        <v>5840.0265985241867</v>
      </c>
      <c r="I11" s="14">
        <f t="shared" si="1"/>
        <v>54979.358908939474</v>
      </c>
      <c r="M11" s="14">
        <f t="shared" si="2"/>
        <v>603.40687424767987</v>
      </c>
      <c r="N11" s="19">
        <f t="shared" si="3"/>
        <v>-92.566263367115141</v>
      </c>
      <c r="O11" s="20">
        <f t="shared" si="4"/>
        <v>510.84061088056472</v>
      </c>
      <c r="P11" s="14">
        <f t="shared" si="5"/>
        <v>7240.8824909721579</v>
      </c>
      <c r="Q11" s="21">
        <f t="shared" si="20"/>
        <v>0.8600000000000001</v>
      </c>
      <c r="R11" s="14">
        <f t="shared" si="6"/>
        <v>6227.1589422360566</v>
      </c>
      <c r="S11" s="15">
        <f t="shared" si="21"/>
        <v>0.45364999999999994</v>
      </c>
      <c r="T11" s="8">
        <f t="shared" si="7"/>
        <v>235.41255451211555</v>
      </c>
      <c r="U11" s="8">
        <f t="shared" si="8"/>
        <v>367.99431973556432</v>
      </c>
      <c r="V11" s="22">
        <f t="shared" si="9"/>
        <v>311.54176579223213</v>
      </c>
      <c r="W11" s="14">
        <f t="shared" si="10"/>
        <v>603.40687424767987</v>
      </c>
      <c r="X11" s="14">
        <f t="shared" si="11"/>
        <v>92.566263367115141</v>
      </c>
      <c r="Y11" s="14">
        <f t="shared" si="12"/>
        <v>510.84061088056472</v>
      </c>
      <c r="Z11" s="14">
        <f t="shared" si="22"/>
        <v>550.17971454645328</v>
      </c>
      <c r="AA11" s="14">
        <f t="shared" si="23"/>
        <v>327.57303918318974</v>
      </c>
      <c r="AB11" s="14">
        <v>0</v>
      </c>
      <c r="AC11" s="23">
        <f t="shared" si="13"/>
        <v>0.98231827111984282</v>
      </c>
      <c r="AD11" s="17">
        <f>AD10*(100%+AD2)</f>
        <v>-2.0394213013433266E-2</v>
      </c>
      <c r="AE11" s="21">
        <f>SUM(AD4:AD11)</f>
        <v>-0.15340604709305905</v>
      </c>
      <c r="AF11">
        <f t="shared" si="24"/>
        <v>8</v>
      </c>
      <c r="AG11" s="24"/>
      <c r="AH11" s="24"/>
    </row>
    <row r="12" spans="1:34" ht="12" customHeight="1" x14ac:dyDescent="0.25">
      <c r="A12" s="11">
        <f t="shared" si="14"/>
        <v>2019</v>
      </c>
      <c r="B12" s="11">
        <f t="shared" si="15"/>
        <v>9</v>
      </c>
      <c r="C12" s="8">
        <f t="shared" si="16"/>
        <v>7602.9266155207661</v>
      </c>
      <c r="D12" s="12">
        <f t="shared" si="17"/>
        <v>0.05</v>
      </c>
      <c r="E12" s="8">
        <f t="shared" si="18"/>
        <v>56742.258925936054</v>
      </c>
      <c r="F12" s="18">
        <f t="shared" si="19"/>
        <v>2.8000000000000001E-2</v>
      </c>
      <c r="G12" s="14">
        <f t="shared" si="0"/>
        <v>1588.7832499262095</v>
      </c>
      <c r="H12" s="14">
        <f>SUM(G4:G12)</f>
        <v>7428.8098484503962</v>
      </c>
      <c r="I12" s="14">
        <f t="shared" si="1"/>
        <v>64171.068774386447</v>
      </c>
      <c r="M12" s="14">
        <f t="shared" si="2"/>
        <v>633.57721796006388</v>
      </c>
      <c r="N12" s="19">
        <f t="shared" si="3"/>
        <v>-110.34846883639054</v>
      </c>
      <c r="O12" s="20">
        <f t="shared" si="4"/>
        <v>523.22874912367331</v>
      </c>
      <c r="P12" s="14">
        <f t="shared" si="5"/>
        <v>7602.9266155207661</v>
      </c>
      <c r="Q12" s="21">
        <f t="shared" si="20"/>
        <v>0.88000000000000012</v>
      </c>
      <c r="R12" s="14">
        <f t="shared" si="6"/>
        <v>6690.5754216582754</v>
      </c>
      <c r="S12" s="15">
        <f t="shared" si="21"/>
        <v>0.45364999999999994</v>
      </c>
      <c r="T12" s="8">
        <f t="shared" si="7"/>
        <v>252.93162833627301</v>
      </c>
      <c r="U12" s="8">
        <f t="shared" si="8"/>
        <v>380.6455896237909</v>
      </c>
      <c r="V12" s="22">
        <f t="shared" si="9"/>
        <v>314.34955372851351</v>
      </c>
      <c r="W12" s="14">
        <f t="shared" si="10"/>
        <v>633.57721796006388</v>
      </c>
      <c r="X12" s="14">
        <f t="shared" si="11"/>
        <v>110.34846883639054</v>
      </c>
      <c r="Y12" s="14">
        <f t="shared" si="12"/>
        <v>523.22874912367331</v>
      </c>
      <c r="Z12" s="14">
        <f t="shared" si="22"/>
        <v>550.17971454645328</v>
      </c>
      <c r="AA12" s="14">
        <f t="shared" si="23"/>
        <v>327.57303918318974</v>
      </c>
      <c r="AB12" s="14">
        <v>0</v>
      </c>
      <c r="AC12" s="23">
        <f t="shared" si="13"/>
        <v>0.98231827111984271</v>
      </c>
      <c r="AD12" s="17">
        <f>AD11*(100%+AD2)</f>
        <v>-2.0761308847675065E-2</v>
      </c>
      <c r="AE12" s="21">
        <f>SUM(AD4:AD12)</f>
        <v>-0.17416735594073413</v>
      </c>
      <c r="AF12">
        <f t="shared" si="24"/>
        <v>9</v>
      </c>
      <c r="AG12" s="24"/>
      <c r="AH12" s="24"/>
    </row>
    <row r="13" spans="1:34" ht="12" customHeight="1" x14ac:dyDescent="0.25">
      <c r="A13" s="25">
        <f t="shared" si="14"/>
        <v>2020</v>
      </c>
      <c r="B13" s="25">
        <f t="shared" si="15"/>
        <v>10</v>
      </c>
      <c r="C13" s="26">
        <f t="shared" si="16"/>
        <v>7983.0729462968047</v>
      </c>
      <c r="D13" s="27">
        <f t="shared" si="17"/>
        <v>0.05</v>
      </c>
      <c r="E13" s="26">
        <f t="shared" si="18"/>
        <v>64725.331872232855</v>
      </c>
      <c r="F13" s="28">
        <f t="shared" si="19"/>
        <v>2.8000000000000001E-2</v>
      </c>
      <c r="G13" s="29">
        <f t="shared" si="0"/>
        <v>1812.30929242252</v>
      </c>
      <c r="H13" s="29">
        <f>SUM(G4:G13)</f>
        <v>9241.1191408729155</v>
      </c>
      <c r="I13" s="29">
        <f t="shared" si="1"/>
        <v>73966.451013105776</v>
      </c>
      <c r="J13" s="30"/>
      <c r="K13" s="30"/>
      <c r="L13" s="30"/>
      <c r="M13" s="29">
        <f t="shared" si="2"/>
        <v>665.2560788580671</v>
      </c>
      <c r="N13" s="31">
        <f t="shared" si="3"/>
        <v>-129.92608775866304</v>
      </c>
      <c r="O13" s="32">
        <f t="shared" si="4"/>
        <v>535.32999109940408</v>
      </c>
      <c r="P13" s="29">
        <f t="shared" si="5"/>
        <v>7983.0729462968047</v>
      </c>
      <c r="Q13" s="33">
        <f t="shared" si="20"/>
        <v>0.90000000000000013</v>
      </c>
      <c r="R13" s="29">
        <f t="shared" si="6"/>
        <v>7184.765651667125</v>
      </c>
      <c r="S13" s="34">
        <f>S2</f>
        <v>0.43</v>
      </c>
      <c r="T13" s="26">
        <f t="shared" si="7"/>
        <v>257.45410251807198</v>
      </c>
      <c r="U13" s="26">
        <f t="shared" si="8"/>
        <v>407.80197633999512</v>
      </c>
      <c r="V13" s="35">
        <f t="shared" si="9"/>
        <v>328.15728454393468</v>
      </c>
      <c r="W13" s="29">
        <f t="shared" si="10"/>
        <v>665.2560788580671</v>
      </c>
      <c r="X13" s="29">
        <f t="shared" si="11"/>
        <v>129.92608775866304</v>
      </c>
      <c r="Y13" s="29">
        <f t="shared" si="12"/>
        <v>535.32999109940408</v>
      </c>
      <c r="Z13" s="29">
        <f t="shared" si="22"/>
        <v>550.17971454645328</v>
      </c>
      <c r="AA13" s="29">
        <f t="shared" si="23"/>
        <v>327.57303918318974</v>
      </c>
      <c r="AB13" s="29">
        <v>0</v>
      </c>
      <c r="AC13" s="36">
        <f t="shared" si="13"/>
        <v>0.98231827111984282</v>
      </c>
      <c r="AD13" s="37">
        <f>AD12*(100%+AD2)</f>
        <v>-2.1135012406933218E-2</v>
      </c>
      <c r="AE13" s="33">
        <f>SUM(AD4:AD13)</f>
        <v>-0.19530236834766734</v>
      </c>
      <c r="AF13" s="30">
        <f t="shared" si="24"/>
        <v>10</v>
      </c>
      <c r="AG13" s="24"/>
      <c r="AH13" s="24"/>
    </row>
    <row r="14" spans="1:34" ht="12" customHeight="1" x14ac:dyDescent="0.25">
      <c r="A14" s="11">
        <f t="shared" si="14"/>
        <v>2021</v>
      </c>
      <c r="B14" s="11">
        <f t="shared" si="15"/>
        <v>11</v>
      </c>
      <c r="C14" s="8">
        <f t="shared" si="16"/>
        <v>8382.2265936116455</v>
      </c>
      <c r="D14" s="12">
        <f t="shared" si="17"/>
        <v>0.05</v>
      </c>
      <c r="E14" s="8">
        <f t="shared" si="18"/>
        <v>73107.5584658445</v>
      </c>
      <c r="F14" s="18">
        <f t="shared" si="19"/>
        <v>2.8000000000000001E-2</v>
      </c>
      <c r="G14" s="14">
        <f t="shared" si="0"/>
        <v>2047.011637043646</v>
      </c>
      <c r="H14" s="14">
        <f>SUM(G4:G14)</f>
        <v>11288.130777916562</v>
      </c>
      <c r="I14" s="14">
        <f t="shared" si="1"/>
        <v>84395.689243761066</v>
      </c>
      <c r="M14" s="14">
        <f t="shared" si="2"/>
        <v>698.51888280097046</v>
      </c>
      <c r="N14" s="19">
        <f t="shared" si="3"/>
        <v>-151.45133509565241</v>
      </c>
      <c r="O14" s="20">
        <f t="shared" si="4"/>
        <v>547.06754770531802</v>
      </c>
      <c r="P14" s="14">
        <f t="shared" si="5"/>
        <v>8382.2265936116455</v>
      </c>
      <c r="Q14" s="21">
        <f t="shared" si="20"/>
        <v>0.92000000000000015</v>
      </c>
      <c r="R14" s="14">
        <f t="shared" si="6"/>
        <v>7711.648466122715</v>
      </c>
      <c r="S14" s="15">
        <f t="shared" ref="S14:S28" si="25">S13</f>
        <v>0.43</v>
      </c>
      <c r="T14" s="8">
        <f t="shared" si="7"/>
        <v>276.33407003606396</v>
      </c>
      <c r="U14" s="8">
        <f t="shared" si="8"/>
        <v>422.1848127649065</v>
      </c>
      <c r="V14" s="22">
        <f t="shared" si="9"/>
        <v>330.6476258330942</v>
      </c>
      <c r="W14" s="14">
        <f t="shared" si="10"/>
        <v>698.51888280097046</v>
      </c>
      <c r="X14" s="14">
        <f t="shared" si="11"/>
        <v>151.45133509565241</v>
      </c>
      <c r="Y14" s="14">
        <f t="shared" si="12"/>
        <v>547.06754770531802</v>
      </c>
      <c r="Z14" s="14">
        <f t="shared" si="22"/>
        <v>550.17971454645328</v>
      </c>
      <c r="AA14" s="14">
        <f t="shared" si="23"/>
        <v>327.57303918318974</v>
      </c>
      <c r="AB14" s="14">
        <v>0</v>
      </c>
      <c r="AC14" s="23">
        <f t="shared" si="13"/>
        <v>0.98231827111984282</v>
      </c>
      <c r="AD14" s="17">
        <f>AD13*(100%+AD2)</f>
        <v>-2.1515442630258015E-2</v>
      </c>
      <c r="AE14" s="21">
        <f>SUM(AD4:AD14)</f>
        <v>-0.21681781097792535</v>
      </c>
      <c r="AF14">
        <f t="shared" si="24"/>
        <v>11</v>
      </c>
      <c r="AG14" s="24"/>
      <c r="AH14" s="24"/>
    </row>
    <row r="15" spans="1:34" ht="12" customHeight="1" x14ac:dyDescent="0.25">
      <c r="A15" s="11">
        <f t="shared" si="14"/>
        <v>2022</v>
      </c>
      <c r="B15" s="11">
        <f t="shared" si="15"/>
        <v>12</v>
      </c>
      <c r="C15" s="8">
        <f t="shared" si="16"/>
        <v>8801.3379232922289</v>
      </c>
      <c r="D15" s="12">
        <f t="shared" si="17"/>
        <v>0.05</v>
      </c>
      <c r="E15" s="8">
        <f t="shared" si="18"/>
        <v>81908.896389136731</v>
      </c>
      <c r="F15" s="18">
        <f t="shared" si="19"/>
        <v>2.8000000000000001E-2</v>
      </c>
      <c r="G15" s="14">
        <f t="shared" si="0"/>
        <v>2293.4490988958287</v>
      </c>
      <c r="H15" s="14">
        <f>SUM(G4:G15)</f>
        <v>13581.57987681239</v>
      </c>
      <c r="I15" s="14">
        <f t="shared" si="1"/>
        <v>95490.476265949124</v>
      </c>
      <c r="M15" s="14">
        <f t="shared" si="2"/>
        <v>733.44482694101907</v>
      </c>
      <c r="N15" s="19">
        <f t="shared" si="3"/>
        <v>-175.0883389686812</v>
      </c>
      <c r="O15" s="20">
        <f t="shared" si="4"/>
        <v>558.35648797233785</v>
      </c>
      <c r="P15" s="14">
        <f t="shared" si="5"/>
        <v>8801.3379232922289</v>
      </c>
      <c r="Q15" s="21">
        <f t="shared" si="20"/>
        <v>0.94000000000000017</v>
      </c>
      <c r="R15" s="14">
        <f t="shared" si="6"/>
        <v>8273.2576478946958</v>
      </c>
      <c r="S15" s="15">
        <f t="shared" si="25"/>
        <v>0.43</v>
      </c>
      <c r="T15" s="8">
        <f t="shared" si="7"/>
        <v>296.45839904955994</v>
      </c>
      <c r="U15" s="8">
        <f t="shared" si="8"/>
        <v>436.98642789145913</v>
      </c>
      <c r="V15" s="22">
        <f t="shared" si="9"/>
        <v>332.66879553391885</v>
      </c>
      <c r="W15" s="14">
        <f t="shared" si="10"/>
        <v>733.44482694101907</v>
      </c>
      <c r="X15" s="14">
        <f t="shared" si="11"/>
        <v>175.0883389686812</v>
      </c>
      <c r="Y15" s="14">
        <f t="shared" si="12"/>
        <v>558.35648797233785</v>
      </c>
      <c r="Z15" s="14">
        <f t="shared" si="22"/>
        <v>550.17971454645328</v>
      </c>
      <c r="AA15" s="14">
        <f t="shared" si="23"/>
        <v>327.57303918318974</v>
      </c>
      <c r="AB15" s="14">
        <v>0</v>
      </c>
      <c r="AC15" s="23">
        <f t="shared" si="13"/>
        <v>0.98231827111984271</v>
      </c>
      <c r="AD15" s="17">
        <f>AD14*(100%+AD2)</f>
        <v>-2.1902720597602659E-2</v>
      </c>
      <c r="AE15" s="21">
        <f>SUM(AD4:AD15)</f>
        <v>-0.238720531575528</v>
      </c>
      <c r="AF15">
        <f t="shared" si="24"/>
        <v>12</v>
      </c>
      <c r="AG15" s="24"/>
      <c r="AH15" s="24"/>
    </row>
    <row r="16" spans="1:34" ht="12" customHeight="1" x14ac:dyDescent="0.25">
      <c r="A16" s="11">
        <f t="shared" si="14"/>
        <v>2023</v>
      </c>
      <c r="B16" s="11">
        <f t="shared" si="15"/>
        <v>13</v>
      </c>
      <c r="C16" s="8">
        <f t="shared" si="16"/>
        <v>9241.4048194568404</v>
      </c>
      <c r="D16" s="12">
        <f t="shared" si="17"/>
        <v>0.05</v>
      </c>
      <c r="E16" s="8">
        <f t="shared" si="18"/>
        <v>91150.301208593577</v>
      </c>
      <c r="F16" s="18">
        <f t="shared" si="19"/>
        <v>2.8000000000000001E-2</v>
      </c>
      <c r="G16" s="14">
        <f t="shared" si="0"/>
        <v>2552.2084338406203</v>
      </c>
      <c r="H16" s="14">
        <f>SUM(G4:G16)</f>
        <v>16133.78831065301</v>
      </c>
      <c r="I16" s="14">
        <f t="shared" si="1"/>
        <v>107284.08951924658</v>
      </c>
      <c r="M16" s="14">
        <f t="shared" si="2"/>
        <v>770.11706828807007</v>
      </c>
      <c r="N16" s="19">
        <f t="shared" si="3"/>
        <v>-201.01403275280862</v>
      </c>
      <c r="O16" s="20">
        <f t="shared" si="4"/>
        <v>569.10303553526148</v>
      </c>
      <c r="P16" s="14">
        <f t="shared" si="5"/>
        <v>9241.4048194568404</v>
      </c>
      <c r="Q16" s="21">
        <f t="shared" si="20"/>
        <v>0.96000000000000019</v>
      </c>
      <c r="R16" s="14">
        <f t="shared" si="6"/>
        <v>8871.7486266785691</v>
      </c>
      <c r="S16" s="15">
        <f t="shared" si="25"/>
        <v>0.43</v>
      </c>
      <c r="T16" s="8">
        <f t="shared" si="7"/>
        <v>317.90432578931535</v>
      </c>
      <c r="U16" s="8">
        <f t="shared" si="8"/>
        <v>452.21274249875472</v>
      </c>
      <c r="V16" s="22">
        <f t="shared" si="9"/>
        <v>334.17730246630549</v>
      </c>
      <c r="W16" s="14">
        <f t="shared" si="10"/>
        <v>770.11706828807007</v>
      </c>
      <c r="X16" s="14">
        <f t="shared" si="11"/>
        <v>201.01403275280862</v>
      </c>
      <c r="Y16" s="14">
        <f t="shared" si="12"/>
        <v>569.10303553526148</v>
      </c>
      <c r="Z16" s="14">
        <f t="shared" si="22"/>
        <v>550.17971454645328</v>
      </c>
      <c r="AA16" s="14">
        <f t="shared" si="23"/>
        <v>327.57303918318974</v>
      </c>
      <c r="AB16" s="14">
        <v>0</v>
      </c>
      <c r="AC16" s="23">
        <f t="shared" si="13"/>
        <v>0.98231827111984271</v>
      </c>
      <c r="AD16" s="17">
        <f>AD15*(100%+AD2)</f>
        <v>-2.2296969568359509E-2</v>
      </c>
      <c r="AE16" s="21">
        <f>SUM(AD4:AD16)</f>
        <v>-0.2610175011438875</v>
      </c>
      <c r="AF16">
        <f t="shared" si="24"/>
        <v>13</v>
      </c>
      <c r="AG16" s="24"/>
      <c r="AH16" s="24"/>
    </row>
    <row r="17" spans="1:34" ht="12" customHeight="1" x14ac:dyDescent="0.25">
      <c r="A17" s="11">
        <f t="shared" si="14"/>
        <v>2024</v>
      </c>
      <c r="B17" s="11">
        <f t="shared" si="15"/>
        <v>14</v>
      </c>
      <c r="C17" s="8">
        <f t="shared" si="16"/>
        <v>9703.4750604296823</v>
      </c>
      <c r="D17" s="12">
        <f t="shared" si="17"/>
        <v>0.05</v>
      </c>
      <c r="E17" s="8">
        <f t="shared" si="18"/>
        <v>100853.77626902326</v>
      </c>
      <c r="F17" s="18">
        <f t="shared" si="19"/>
        <v>2.8000000000000001E-2</v>
      </c>
      <c r="G17" s="14">
        <f t="shared" si="0"/>
        <v>2823.9057355326513</v>
      </c>
      <c r="H17" s="14">
        <f>SUM(G4:G17)</f>
        <v>18957.694046185661</v>
      </c>
      <c r="I17" s="14">
        <f t="shared" si="1"/>
        <v>119811.47031520892</v>
      </c>
      <c r="M17" s="14">
        <f t="shared" si="2"/>
        <v>808.62292170247349</v>
      </c>
      <c r="N17" s="19">
        <f t="shared" si="3"/>
        <v>-229.41911220012165</v>
      </c>
      <c r="O17" s="20">
        <f t="shared" si="4"/>
        <v>579.20380950235187</v>
      </c>
      <c r="P17" s="14">
        <f t="shared" si="5"/>
        <v>9703.4750604296823</v>
      </c>
      <c r="Q17" s="21">
        <f t="shared" si="20"/>
        <v>0.9800000000000002</v>
      </c>
      <c r="R17" s="14">
        <f t="shared" si="6"/>
        <v>9509.4055592210898</v>
      </c>
      <c r="S17" s="15">
        <f t="shared" si="25"/>
        <v>0.43</v>
      </c>
      <c r="T17" s="8">
        <f t="shared" si="7"/>
        <v>340.75369920542238</v>
      </c>
      <c r="U17" s="8">
        <f t="shared" si="8"/>
        <v>467.86922249705111</v>
      </c>
      <c r="V17" s="22">
        <f t="shared" si="9"/>
        <v>335.12732417806075</v>
      </c>
      <c r="W17" s="14">
        <f t="shared" si="10"/>
        <v>808.62292170247349</v>
      </c>
      <c r="X17" s="14">
        <f t="shared" si="11"/>
        <v>229.41911220012165</v>
      </c>
      <c r="Y17" s="14">
        <f t="shared" si="12"/>
        <v>579.20380950235187</v>
      </c>
      <c r="Z17" s="14">
        <f t="shared" si="22"/>
        <v>550.17971454645328</v>
      </c>
      <c r="AA17" s="14">
        <f t="shared" si="23"/>
        <v>327.57303918318974</v>
      </c>
      <c r="AB17" s="14">
        <v>0</v>
      </c>
      <c r="AC17" s="23">
        <f t="shared" si="13"/>
        <v>0.98231827111984271</v>
      </c>
      <c r="AD17" s="17">
        <f>AD16*(100%+AD2)</f>
        <v>-2.2698315020589981E-2</v>
      </c>
      <c r="AE17" s="21">
        <f>SUM(AD4:AD17)</f>
        <v>-0.2837158161644775</v>
      </c>
      <c r="AF17">
        <f t="shared" si="24"/>
        <v>14</v>
      </c>
      <c r="AG17" s="24"/>
      <c r="AH17" s="24"/>
    </row>
    <row r="18" spans="1:34" ht="12" customHeight="1" x14ac:dyDescent="0.25">
      <c r="A18" s="25">
        <f t="shared" si="14"/>
        <v>2025</v>
      </c>
      <c r="B18" s="25">
        <f t="shared" si="15"/>
        <v>15</v>
      </c>
      <c r="C18" s="26">
        <f t="shared" si="16"/>
        <v>10188.648813451167</v>
      </c>
      <c r="D18" s="27">
        <f t="shared" si="17"/>
        <v>0.05</v>
      </c>
      <c r="E18" s="26">
        <f t="shared" si="18"/>
        <v>111042.42508247442</v>
      </c>
      <c r="F18" s="28">
        <f t="shared" si="19"/>
        <v>2.8000000000000001E-2</v>
      </c>
      <c r="G18" s="29">
        <f t="shared" si="0"/>
        <v>3109.1879023092838</v>
      </c>
      <c r="H18" s="29">
        <f>SUM(G4:G18)</f>
        <v>22066.881948494945</v>
      </c>
      <c r="I18" s="29">
        <f t="shared" si="1"/>
        <v>133109.30703096936</v>
      </c>
      <c r="J18" s="30"/>
      <c r="K18" s="30"/>
      <c r="L18" s="30"/>
      <c r="M18" s="29">
        <f t="shared" si="2"/>
        <v>849.05406778759732</v>
      </c>
      <c r="N18" s="31">
        <f t="shared" si="3"/>
        <v>-260.50906225088687</v>
      </c>
      <c r="O18" s="32">
        <f t="shared" si="4"/>
        <v>588.54500553671051</v>
      </c>
      <c r="P18" s="29">
        <f t="shared" si="5"/>
        <v>10188.648813451167</v>
      </c>
      <c r="Q18" s="33">
        <f t="shared" si="20"/>
        <v>1.0000000000000002</v>
      </c>
      <c r="R18" s="29">
        <f t="shared" si="6"/>
        <v>10188.648813451169</v>
      </c>
      <c r="S18" s="34">
        <f t="shared" si="25"/>
        <v>0.43</v>
      </c>
      <c r="T18" s="26">
        <f t="shared" si="7"/>
        <v>365.09324914866693</v>
      </c>
      <c r="U18" s="26">
        <f t="shared" si="8"/>
        <v>483.96081863893039</v>
      </c>
      <c r="V18" s="35">
        <f t="shared" si="9"/>
        <v>335.47065315592488</v>
      </c>
      <c r="W18" s="29">
        <f t="shared" si="10"/>
        <v>849.05406778759732</v>
      </c>
      <c r="X18" s="29">
        <f t="shared" si="11"/>
        <v>260.50906225088687</v>
      </c>
      <c r="Y18" s="29">
        <f t="shared" si="12"/>
        <v>588.54500553671051</v>
      </c>
      <c r="Z18" s="29">
        <f t="shared" si="22"/>
        <v>550.17971454645328</v>
      </c>
      <c r="AA18" s="29">
        <f t="shared" si="23"/>
        <v>327.57303918318974</v>
      </c>
      <c r="AB18" s="29">
        <v>0</v>
      </c>
      <c r="AC18" s="36">
        <f t="shared" si="13"/>
        <v>0.98231827111984271</v>
      </c>
      <c r="AD18" s="37">
        <f>AD17*(100%+AD2)</f>
        <v>-2.3106884690960602E-2</v>
      </c>
      <c r="AE18" s="33">
        <f>SUM(AD4:AD18)</f>
        <v>-0.30682270085543811</v>
      </c>
      <c r="AF18" s="30">
        <f t="shared" si="24"/>
        <v>15</v>
      </c>
      <c r="AG18" s="24"/>
      <c r="AH18" s="24"/>
    </row>
    <row r="19" spans="1:34" ht="12" customHeight="1" x14ac:dyDescent="0.25">
      <c r="A19" s="11">
        <f t="shared" si="14"/>
        <v>2026</v>
      </c>
      <c r="B19" s="11">
        <f t="shared" si="15"/>
        <v>16</v>
      </c>
      <c r="C19" s="8">
        <f t="shared" si="16"/>
        <v>10698.081254123726</v>
      </c>
      <c r="D19" s="12">
        <f t="shared" si="17"/>
        <v>0.05</v>
      </c>
      <c r="E19" s="8">
        <f t="shared" si="18"/>
        <v>121740.50633659815</v>
      </c>
      <c r="F19" s="18">
        <f t="shared" si="19"/>
        <v>2.8000000000000001E-2</v>
      </c>
      <c r="G19" s="14">
        <f t="shared" si="0"/>
        <v>3408.7341774247484</v>
      </c>
      <c r="H19" s="14">
        <f>SUM(G4:G19)</f>
        <v>25475.616125919692</v>
      </c>
      <c r="I19" s="14">
        <f t="shared" si="1"/>
        <v>147216.12246251784</v>
      </c>
      <c r="M19" s="14">
        <f t="shared" si="2"/>
        <v>891.50677117697717</v>
      </c>
      <c r="N19" s="19">
        <f t="shared" si="3"/>
        <v>-294.50525852115857</v>
      </c>
      <c r="O19" s="20">
        <f t="shared" si="4"/>
        <v>597.0015126558186</v>
      </c>
      <c r="P19" s="14">
        <f t="shared" si="5"/>
        <v>10698.081254123726</v>
      </c>
      <c r="Q19" s="21">
        <f t="shared" ref="Q19:Q28" si="26">Q18</f>
        <v>1.0000000000000002</v>
      </c>
      <c r="R19" s="14">
        <f t="shared" si="6"/>
        <v>10698.081254123728</v>
      </c>
      <c r="S19" s="15">
        <f t="shared" si="25"/>
        <v>0.43</v>
      </c>
      <c r="T19" s="8">
        <f t="shared" si="7"/>
        <v>383.34791160610024</v>
      </c>
      <c r="U19" s="8">
        <f t="shared" si="8"/>
        <v>508.15885957087693</v>
      </c>
      <c r="V19" s="22">
        <f t="shared" si="9"/>
        <v>340.29086221381658</v>
      </c>
      <c r="W19" s="14">
        <f t="shared" si="10"/>
        <v>891.50677117697717</v>
      </c>
      <c r="X19" s="14">
        <f t="shared" si="11"/>
        <v>294.50525852115857</v>
      </c>
      <c r="Y19" s="14">
        <f t="shared" si="12"/>
        <v>597.0015126558186</v>
      </c>
      <c r="Z19" s="14">
        <f t="shared" si="22"/>
        <v>550.17971454645328</v>
      </c>
      <c r="AA19" s="14">
        <f t="shared" si="23"/>
        <v>327.57303918318974</v>
      </c>
      <c r="AB19" s="14">
        <v>0</v>
      </c>
      <c r="AC19" s="23">
        <f t="shared" si="13"/>
        <v>0.98231827111984271</v>
      </c>
      <c r="AD19" s="17">
        <f>AD18*(100%+AD2)</f>
        <v>-2.3522808615397895E-2</v>
      </c>
      <c r="AE19" s="21">
        <f>SUM(AD4:AD19)</f>
        <v>-0.33034550947083602</v>
      </c>
      <c r="AF19">
        <f t="shared" si="24"/>
        <v>16</v>
      </c>
      <c r="AG19" s="24"/>
      <c r="AH19" s="24"/>
    </row>
    <row r="20" spans="1:34" ht="12" customHeight="1" x14ac:dyDescent="0.25">
      <c r="A20" s="11">
        <f t="shared" si="14"/>
        <v>2027</v>
      </c>
      <c r="B20" s="11">
        <f t="shared" si="15"/>
        <v>17</v>
      </c>
      <c r="C20" s="8">
        <f t="shared" si="16"/>
        <v>11232.985316829914</v>
      </c>
      <c r="D20" s="12">
        <f t="shared" si="17"/>
        <v>0.05</v>
      </c>
      <c r="E20" s="8">
        <f t="shared" si="18"/>
        <v>132973.49165342806</v>
      </c>
      <c r="F20" s="18">
        <f t="shared" si="19"/>
        <v>2.8000000000000001E-2</v>
      </c>
      <c r="G20" s="14">
        <f t="shared" si="0"/>
        <v>3723.2577662959857</v>
      </c>
      <c r="H20" s="14">
        <f>SUM(G4:G20)</f>
        <v>29198.873892215677</v>
      </c>
      <c r="I20" s="14">
        <f t="shared" si="1"/>
        <v>162172.36554564373</v>
      </c>
      <c r="M20" s="14">
        <f t="shared" si="2"/>
        <v>936.08210973582618</v>
      </c>
      <c r="N20" s="19">
        <f t="shared" si="3"/>
        <v>-331.64614880851133</v>
      </c>
      <c r="O20" s="20">
        <f t="shared" si="4"/>
        <v>604.43596092731491</v>
      </c>
      <c r="P20" s="14">
        <f t="shared" si="5"/>
        <v>11232.985316829914</v>
      </c>
      <c r="Q20" s="21">
        <f t="shared" si="26"/>
        <v>1.0000000000000002</v>
      </c>
      <c r="R20" s="14">
        <f t="shared" si="6"/>
        <v>11232.985316829916</v>
      </c>
      <c r="S20" s="15">
        <f t="shared" si="25"/>
        <v>0.43</v>
      </c>
      <c r="T20" s="8">
        <f t="shared" si="7"/>
        <v>402.51530718640532</v>
      </c>
      <c r="U20" s="8">
        <f t="shared" si="8"/>
        <v>533.5668025494208</v>
      </c>
      <c r="V20" s="22">
        <f t="shared" si="9"/>
        <v>344.52849772856939</v>
      </c>
      <c r="W20" s="14">
        <f t="shared" si="10"/>
        <v>936.08210973582618</v>
      </c>
      <c r="X20" s="14">
        <f t="shared" si="11"/>
        <v>331.64614880851133</v>
      </c>
      <c r="Y20" s="14">
        <f t="shared" si="12"/>
        <v>604.43596092731491</v>
      </c>
      <c r="Z20" s="14">
        <f t="shared" si="22"/>
        <v>550.17971454645328</v>
      </c>
      <c r="AA20" s="14">
        <f t="shared" si="23"/>
        <v>327.57303918318974</v>
      </c>
      <c r="AB20" s="14">
        <v>0</v>
      </c>
      <c r="AC20" s="23">
        <f t="shared" si="13"/>
        <v>0.98231827111984271</v>
      </c>
      <c r="AD20" s="17">
        <f>AD19*(100%+AD2)</f>
        <v>-2.3946219170475059E-2</v>
      </c>
      <c r="AE20" s="21">
        <f>SUM(AD4:AD20)</f>
        <v>-0.35429172864131109</v>
      </c>
      <c r="AF20">
        <f t="shared" si="24"/>
        <v>17</v>
      </c>
      <c r="AG20" s="24"/>
      <c r="AH20" s="24"/>
    </row>
    <row r="21" spans="1:34" ht="12" customHeight="1" x14ac:dyDescent="0.25">
      <c r="A21" s="11">
        <f t="shared" si="14"/>
        <v>2028</v>
      </c>
      <c r="B21" s="11">
        <f t="shared" si="15"/>
        <v>18</v>
      </c>
      <c r="C21" s="8">
        <f t="shared" si="16"/>
        <v>11794.63458267141</v>
      </c>
      <c r="D21" s="12">
        <f t="shared" si="17"/>
        <v>0.05</v>
      </c>
      <c r="E21" s="8">
        <f t="shared" si="18"/>
        <v>144768.12623609946</v>
      </c>
      <c r="F21" s="18">
        <f t="shared" si="19"/>
        <v>2.8000000000000001E-2</v>
      </c>
      <c r="G21" s="14">
        <f t="shared" si="0"/>
        <v>4053.5075346107851</v>
      </c>
      <c r="H21" s="14">
        <f>SUM(G4:G21)</f>
        <v>33252.381426826461</v>
      </c>
      <c r="I21" s="14">
        <f t="shared" si="1"/>
        <v>178020.50766292593</v>
      </c>
      <c r="M21" s="14">
        <f t="shared" si="2"/>
        <v>982.88621522261747</v>
      </c>
      <c r="N21" s="19">
        <f t="shared" si="3"/>
        <v>-372.18852033542487</v>
      </c>
      <c r="O21" s="20">
        <f t="shared" si="4"/>
        <v>610.6976948871926</v>
      </c>
      <c r="P21" s="14">
        <f t="shared" si="5"/>
        <v>11794.63458267141</v>
      </c>
      <c r="Q21" s="21">
        <f t="shared" si="26"/>
        <v>1.0000000000000002</v>
      </c>
      <c r="R21" s="14">
        <f t="shared" si="6"/>
        <v>11794.634582671411</v>
      </c>
      <c r="S21" s="15">
        <f t="shared" si="25"/>
        <v>0.43</v>
      </c>
      <c r="T21" s="8">
        <f t="shared" si="7"/>
        <v>422.64107254572559</v>
      </c>
      <c r="U21" s="8">
        <f t="shared" si="8"/>
        <v>560.24514267689187</v>
      </c>
      <c r="V21" s="22">
        <f t="shared" si="9"/>
        <v>348.09768608569971</v>
      </c>
      <c r="W21" s="14">
        <f t="shared" si="10"/>
        <v>982.88621522261747</v>
      </c>
      <c r="X21" s="14">
        <f t="shared" si="11"/>
        <v>372.18852033542487</v>
      </c>
      <c r="Y21" s="14">
        <f t="shared" si="12"/>
        <v>610.6976948871926</v>
      </c>
      <c r="Z21" s="14">
        <f t="shared" si="22"/>
        <v>550.17971454645328</v>
      </c>
      <c r="AA21" s="14">
        <f t="shared" si="23"/>
        <v>327.57303918318974</v>
      </c>
      <c r="AB21" s="14">
        <v>0</v>
      </c>
      <c r="AC21" s="23">
        <f t="shared" si="13"/>
        <v>0.98231827111984282</v>
      </c>
      <c r="AD21" s="17">
        <f>AD20*(100%+AD2)</f>
        <v>-2.4377251115543612E-2</v>
      </c>
      <c r="AE21" s="21">
        <f>SUM(AD4:AD21)</f>
        <v>-0.37866897975685471</v>
      </c>
      <c r="AF21">
        <f t="shared" si="24"/>
        <v>18</v>
      </c>
      <c r="AG21" s="24"/>
      <c r="AH21" s="24"/>
    </row>
    <row r="22" spans="1:34" ht="12" customHeight="1" x14ac:dyDescent="0.25">
      <c r="A22" s="11">
        <f t="shared" si="14"/>
        <v>2029</v>
      </c>
      <c r="B22" s="11">
        <f t="shared" si="15"/>
        <v>19</v>
      </c>
      <c r="C22" s="8">
        <f t="shared" si="16"/>
        <v>12384.366311804981</v>
      </c>
      <c r="D22" s="12">
        <f t="shared" si="17"/>
        <v>0.05</v>
      </c>
      <c r="E22" s="8">
        <f t="shared" si="18"/>
        <v>157152.49254790443</v>
      </c>
      <c r="F22" s="18">
        <f t="shared" si="19"/>
        <v>2.8000000000000001E-2</v>
      </c>
      <c r="G22" s="14">
        <f t="shared" si="0"/>
        <v>4400.269791341324</v>
      </c>
      <c r="H22" s="14">
        <f>SUM(G4:G22)</f>
        <v>37652.651218167783</v>
      </c>
      <c r="I22" s="14">
        <f t="shared" si="1"/>
        <v>194805.14376607223</v>
      </c>
      <c r="M22" s="14">
        <f t="shared" si="2"/>
        <v>1032.0305259837485</v>
      </c>
      <c r="N22" s="19">
        <f t="shared" si="3"/>
        <v>-416.40885885424319</v>
      </c>
      <c r="O22" s="20">
        <f t="shared" si="4"/>
        <v>615.62166712950534</v>
      </c>
      <c r="P22" s="14">
        <f t="shared" si="5"/>
        <v>12384.366311804981</v>
      </c>
      <c r="Q22" s="21">
        <f t="shared" si="26"/>
        <v>1.0000000000000002</v>
      </c>
      <c r="R22" s="14">
        <f t="shared" si="6"/>
        <v>12384.366311804984</v>
      </c>
      <c r="S22" s="15">
        <f t="shared" si="25"/>
        <v>0.43</v>
      </c>
      <c r="T22" s="8">
        <f t="shared" si="7"/>
        <v>443.77312617301192</v>
      </c>
      <c r="U22" s="8">
        <f t="shared" si="8"/>
        <v>588.25739981073662</v>
      </c>
      <c r="V22" s="22">
        <f t="shared" si="9"/>
        <v>350.904350263818</v>
      </c>
      <c r="W22" s="14">
        <f t="shared" si="10"/>
        <v>1032.0305259837485</v>
      </c>
      <c r="X22" s="14">
        <f t="shared" si="11"/>
        <v>416.40885885424319</v>
      </c>
      <c r="Y22" s="14">
        <f t="shared" si="12"/>
        <v>615.62166712950534</v>
      </c>
      <c r="Z22" s="14">
        <f t="shared" si="22"/>
        <v>550.17971454645328</v>
      </c>
      <c r="AA22" s="14">
        <f t="shared" si="23"/>
        <v>327.57303918318974</v>
      </c>
      <c r="AB22" s="14">
        <v>0</v>
      </c>
      <c r="AC22" s="23">
        <f t="shared" si="13"/>
        <v>0.98231827111984282</v>
      </c>
      <c r="AD22" s="17">
        <f>AD21*(100%+AD2)</f>
        <v>-2.4816041635623398E-2</v>
      </c>
      <c r="AE22" s="21">
        <f>SUM(AD4:AD22)</f>
        <v>-0.4034850213924781</v>
      </c>
      <c r="AF22">
        <f t="shared" si="24"/>
        <v>19</v>
      </c>
      <c r="AG22" s="24"/>
      <c r="AH22" s="24"/>
    </row>
    <row r="23" spans="1:34" ht="12" customHeight="1" x14ac:dyDescent="0.25">
      <c r="A23" s="25">
        <f t="shared" si="14"/>
        <v>2030</v>
      </c>
      <c r="B23" s="25">
        <f t="shared" si="15"/>
        <v>20</v>
      </c>
      <c r="C23" s="26">
        <f t="shared" si="16"/>
        <v>13003.58462739523</v>
      </c>
      <c r="D23" s="27">
        <f t="shared" si="17"/>
        <v>0.05</v>
      </c>
      <c r="E23" s="26">
        <f t="shared" si="18"/>
        <v>170156.07717529967</v>
      </c>
      <c r="F23" s="28">
        <f t="shared" si="19"/>
        <v>2.8000000000000001E-2</v>
      </c>
      <c r="G23" s="29">
        <f t="shared" si="0"/>
        <v>4764.370160908391</v>
      </c>
      <c r="H23" s="29">
        <f>SUM(G4:G23)</f>
        <v>42417.021379076177</v>
      </c>
      <c r="I23" s="29">
        <f t="shared" si="1"/>
        <v>212573.09855437584</v>
      </c>
      <c r="J23" s="30"/>
      <c r="K23" s="30"/>
      <c r="L23" s="30"/>
      <c r="M23" s="29">
        <f t="shared" si="2"/>
        <v>1083.6320522829358</v>
      </c>
      <c r="N23" s="31">
        <f t="shared" si="3"/>
        <v>-464.60480617039332</v>
      </c>
      <c r="O23" s="32">
        <f t="shared" si="4"/>
        <v>619.02724611254246</v>
      </c>
      <c r="P23" s="29">
        <f t="shared" si="5"/>
        <v>13003.58462739523</v>
      </c>
      <c r="Q23" s="33">
        <f t="shared" si="26"/>
        <v>1.0000000000000002</v>
      </c>
      <c r="R23" s="29">
        <f t="shared" si="6"/>
        <v>13003.584627395234</v>
      </c>
      <c r="S23" s="34">
        <f t="shared" si="25"/>
        <v>0.43</v>
      </c>
      <c r="T23" s="26">
        <f t="shared" si="7"/>
        <v>465.96178248166257</v>
      </c>
      <c r="U23" s="26">
        <f t="shared" si="8"/>
        <v>617.67026980127321</v>
      </c>
      <c r="V23" s="35">
        <f t="shared" si="9"/>
        <v>352.84553028414911</v>
      </c>
      <c r="W23" s="29">
        <f t="shared" si="10"/>
        <v>1083.6320522829358</v>
      </c>
      <c r="X23" s="29">
        <f t="shared" si="11"/>
        <v>464.60480617039332</v>
      </c>
      <c r="Y23" s="29">
        <f t="shared" si="12"/>
        <v>619.02724611254246</v>
      </c>
      <c r="Z23" s="29">
        <f t="shared" si="22"/>
        <v>550.17971454645328</v>
      </c>
      <c r="AA23" s="29">
        <f t="shared" si="23"/>
        <v>327.57303918318974</v>
      </c>
      <c r="AB23" s="29">
        <v>0</v>
      </c>
      <c r="AC23" s="36">
        <f t="shared" si="13"/>
        <v>0.98231827111984282</v>
      </c>
      <c r="AD23" s="37">
        <f>AD22*(100%+AD2)</f>
        <v>-2.526273038506462E-2</v>
      </c>
      <c r="AE23" s="33">
        <f>SUM(AD4:AD23)</f>
        <v>-0.42874775177754271</v>
      </c>
      <c r="AF23" s="30">
        <f t="shared" si="24"/>
        <v>20</v>
      </c>
      <c r="AG23" s="24"/>
      <c r="AH23" s="24"/>
    </row>
    <row r="24" spans="1:34" ht="12" customHeight="1" x14ac:dyDescent="0.25">
      <c r="A24" s="11">
        <f t="shared" si="14"/>
        <v>2031</v>
      </c>
      <c r="B24" s="11">
        <f t="shared" si="15"/>
        <v>21</v>
      </c>
      <c r="C24" s="8">
        <f t="shared" si="16"/>
        <v>13653.763858764993</v>
      </c>
      <c r="D24" s="12">
        <f t="shared" si="17"/>
        <v>0.05</v>
      </c>
      <c r="E24" s="8">
        <f t="shared" si="18"/>
        <v>183809.84103406465</v>
      </c>
      <c r="F24" s="18">
        <f t="shared" si="19"/>
        <v>2.8000000000000001E-2</v>
      </c>
      <c r="G24" s="14">
        <f t="shared" si="0"/>
        <v>5146.67554895381</v>
      </c>
      <c r="H24" s="14">
        <f>SUM(G4:G24)</f>
        <v>47563.696928029989</v>
      </c>
      <c r="I24" s="14">
        <f t="shared" si="1"/>
        <v>231373.53796209465</v>
      </c>
      <c r="M24" s="14">
        <f t="shared" si="2"/>
        <v>1137.8136548970826</v>
      </c>
      <c r="N24" s="19">
        <f t="shared" si="3"/>
        <v>-517.09672310368092</v>
      </c>
      <c r="O24" s="20">
        <f t="shared" si="4"/>
        <v>620.71693179340173</v>
      </c>
      <c r="P24" s="14">
        <f t="shared" si="5"/>
        <v>13653.763858764993</v>
      </c>
      <c r="Q24" s="21">
        <f t="shared" si="26"/>
        <v>1.0000000000000002</v>
      </c>
      <c r="R24" s="14">
        <f t="shared" si="6"/>
        <v>13653.763858764996</v>
      </c>
      <c r="S24" s="15">
        <f t="shared" si="25"/>
        <v>0.43</v>
      </c>
      <c r="T24" s="8">
        <f t="shared" si="7"/>
        <v>489.25987160574567</v>
      </c>
      <c r="U24" s="8">
        <f t="shared" si="8"/>
        <v>648.55378329133691</v>
      </c>
      <c r="V24" s="22">
        <f t="shared" si="9"/>
        <v>353.80865112223887</v>
      </c>
      <c r="W24" s="14">
        <f t="shared" si="10"/>
        <v>1137.8136548970826</v>
      </c>
      <c r="X24" s="14">
        <f t="shared" si="11"/>
        <v>517.09672310368092</v>
      </c>
      <c r="Y24" s="14">
        <f t="shared" si="12"/>
        <v>620.71693179340173</v>
      </c>
      <c r="Z24" s="14">
        <f t="shared" si="22"/>
        <v>550.17971454645328</v>
      </c>
      <c r="AA24" s="14">
        <f t="shared" si="23"/>
        <v>327.57303918318974</v>
      </c>
      <c r="AB24" s="14">
        <v>0</v>
      </c>
      <c r="AC24" s="23">
        <f t="shared" si="13"/>
        <v>0.98231827111984282</v>
      </c>
      <c r="AD24" s="17">
        <f>AD23*(100%+AD2)</f>
        <v>-2.5717459531995782E-2</v>
      </c>
      <c r="AE24" s="21">
        <f>SUM(AD4:AD24)</f>
        <v>-0.45446521130953849</v>
      </c>
      <c r="AF24">
        <f t="shared" si="24"/>
        <v>21</v>
      </c>
      <c r="AG24" s="24"/>
      <c r="AH24" s="24"/>
    </row>
    <row r="25" spans="1:34" ht="12" customHeight="1" x14ac:dyDescent="0.25">
      <c r="A25" s="11">
        <f t="shared" si="14"/>
        <v>2032</v>
      </c>
      <c r="B25" s="11">
        <f t="shared" si="15"/>
        <v>22</v>
      </c>
      <c r="C25" s="8">
        <f t="shared" si="16"/>
        <v>14336.452051703243</v>
      </c>
      <c r="D25" s="12">
        <f t="shared" si="17"/>
        <v>0.05</v>
      </c>
      <c r="E25" s="8">
        <f t="shared" si="18"/>
        <v>198146.29308576789</v>
      </c>
      <c r="F25" s="18">
        <f t="shared" si="19"/>
        <v>2.8000000000000001E-2</v>
      </c>
      <c r="G25" s="14">
        <f t="shared" si="0"/>
        <v>5548.0962064015011</v>
      </c>
      <c r="H25" s="14">
        <f>SUM(G4:G25)</f>
        <v>53111.793134431493</v>
      </c>
      <c r="I25" s="14">
        <f t="shared" si="1"/>
        <v>251258.08622019939</v>
      </c>
      <c r="M25" s="14">
        <f t="shared" si="2"/>
        <v>1194.7043376419369</v>
      </c>
      <c r="N25" s="19">
        <f t="shared" si="3"/>
        <v>-574.22936540307956</v>
      </c>
      <c r="O25" s="20">
        <f t="shared" si="4"/>
        <v>620.47497223885739</v>
      </c>
      <c r="P25" s="14">
        <f t="shared" si="5"/>
        <v>14336.452051703243</v>
      </c>
      <c r="Q25" s="21">
        <f t="shared" si="26"/>
        <v>1.0000000000000002</v>
      </c>
      <c r="R25" s="14">
        <f t="shared" si="6"/>
        <v>14336.452051703247</v>
      </c>
      <c r="S25" s="15">
        <f t="shared" si="25"/>
        <v>0.43</v>
      </c>
      <c r="T25" s="8">
        <f t="shared" si="7"/>
        <v>513.722865186033</v>
      </c>
      <c r="U25" s="8">
        <f t="shared" si="8"/>
        <v>680.98147245590394</v>
      </c>
      <c r="V25" s="22">
        <f t="shared" si="9"/>
        <v>353.6707341761487</v>
      </c>
      <c r="W25" s="14">
        <f t="shared" si="10"/>
        <v>1194.7043376419369</v>
      </c>
      <c r="X25" s="14">
        <f t="shared" si="11"/>
        <v>574.22936540307956</v>
      </c>
      <c r="Y25" s="14">
        <f t="shared" si="12"/>
        <v>620.47497223885739</v>
      </c>
      <c r="Z25" s="14">
        <f t="shared" si="22"/>
        <v>550.17971454645328</v>
      </c>
      <c r="AA25" s="14">
        <f t="shared" si="23"/>
        <v>327.57303918318974</v>
      </c>
      <c r="AB25" s="14">
        <v>0</v>
      </c>
      <c r="AC25" s="23">
        <f t="shared" si="13"/>
        <v>0.98231827111984282</v>
      </c>
      <c r="AD25" s="17">
        <f>AD24*(100%+AD2)</f>
        <v>-2.6180373803571706E-2</v>
      </c>
      <c r="AE25" s="21">
        <f>SUM(AD4:AD25)</f>
        <v>-0.48064558511311017</v>
      </c>
      <c r="AF25">
        <f t="shared" si="24"/>
        <v>22</v>
      </c>
      <c r="AG25" s="24"/>
      <c r="AH25" s="24"/>
    </row>
    <row r="26" spans="1:34" ht="12" customHeight="1" x14ac:dyDescent="0.25">
      <c r="A26" s="11">
        <f t="shared" si="14"/>
        <v>2033</v>
      </c>
      <c r="B26" s="11">
        <f t="shared" si="15"/>
        <v>23</v>
      </c>
      <c r="C26" s="8">
        <f t="shared" si="16"/>
        <v>15053.274654288407</v>
      </c>
      <c r="D26" s="12">
        <f t="shared" si="17"/>
        <v>0.05</v>
      </c>
      <c r="E26" s="8">
        <f t="shared" si="18"/>
        <v>213199.56774005629</v>
      </c>
      <c r="F26" s="18">
        <f t="shared" si="19"/>
        <v>2.8000000000000001E-2</v>
      </c>
      <c r="G26" s="14">
        <f t="shared" si="0"/>
        <v>5969.5878967215758</v>
      </c>
      <c r="H26" s="14">
        <f>SUM(G4:G26)</f>
        <v>59081.381031153069</v>
      </c>
      <c r="I26" s="14">
        <f t="shared" si="1"/>
        <v>272280.94877120934</v>
      </c>
      <c r="M26" s="14">
        <f t="shared" si="2"/>
        <v>1254.4395545240338</v>
      </c>
      <c r="N26" s="19">
        <f t="shared" si="3"/>
        <v>-636.37368066078432</v>
      </c>
      <c r="O26" s="20">
        <f t="shared" si="4"/>
        <v>618.06587386324952</v>
      </c>
      <c r="P26" s="14">
        <f t="shared" si="5"/>
        <v>15053.274654288407</v>
      </c>
      <c r="Q26" s="21">
        <f t="shared" si="26"/>
        <v>1.0000000000000002</v>
      </c>
      <c r="R26" s="14">
        <f t="shared" si="6"/>
        <v>15053.274654288411</v>
      </c>
      <c r="S26" s="15">
        <f t="shared" si="25"/>
        <v>0.43</v>
      </c>
      <c r="T26" s="8">
        <f t="shared" si="7"/>
        <v>539.40900844533473</v>
      </c>
      <c r="U26" s="8">
        <f t="shared" si="8"/>
        <v>715.0305460786991</v>
      </c>
      <c r="V26" s="22">
        <f t="shared" si="9"/>
        <v>352.29754810205213</v>
      </c>
      <c r="W26" s="14">
        <f t="shared" si="10"/>
        <v>1254.4395545240338</v>
      </c>
      <c r="X26" s="14">
        <f t="shared" si="11"/>
        <v>636.37368066078432</v>
      </c>
      <c r="Y26" s="14">
        <f t="shared" si="12"/>
        <v>618.06587386324952</v>
      </c>
      <c r="Z26" s="14">
        <f t="shared" si="22"/>
        <v>550.17971454645328</v>
      </c>
      <c r="AA26" s="14">
        <f t="shared" si="23"/>
        <v>327.57303918318974</v>
      </c>
      <c r="AB26" s="14">
        <v>0</v>
      </c>
      <c r="AC26" s="23">
        <f t="shared" si="13"/>
        <v>0.98231827111984282</v>
      </c>
      <c r="AD26" s="17">
        <f>AD25*(100%+AD2)</f>
        <v>-2.6651620532035996E-2</v>
      </c>
      <c r="AE26" s="21">
        <f>SUM(AD4:AD26)</f>
        <v>-0.50729720564514613</v>
      </c>
      <c r="AF26">
        <f t="shared" si="24"/>
        <v>23</v>
      </c>
      <c r="AG26" s="24"/>
      <c r="AH26" s="24"/>
    </row>
    <row r="27" spans="1:34" ht="12" customHeight="1" x14ac:dyDescent="0.25">
      <c r="A27" s="11">
        <f t="shared" si="14"/>
        <v>2034</v>
      </c>
      <c r="B27" s="11">
        <f t="shared" si="15"/>
        <v>24</v>
      </c>
      <c r="C27" s="8">
        <f t="shared" si="16"/>
        <v>15805.938387002829</v>
      </c>
      <c r="D27" s="12">
        <f t="shared" si="17"/>
        <v>0.05</v>
      </c>
      <c r="E27" s="8">
        <f t="shared" si="18"/>
        <v>229005.50612705911</v>
      </c>
      <c r="F27" s="18">
        <f t="shared" si="19"/>
        <v>2.8000000000000001E-2</v>
      </c>
      <c r="G27" s="14">
        <f t="shared" si="0"/>
        <v>6412.154171557655</v>
      </c>
      <c r="H27" s="14">
        <f>SUM(G4:G27)</f>
        <v>65493.535202710722</v>
      </c>
      <c r="I27" s="14">
        <f t="shared" si="1"/>
        <v>294499.04132976983</v>
      </c>
      <c r="M27" s="14">
        <f t="shared" si="2"/>
        <v>1317.1615322502357</v>
      </c>
      <c r="N27" s="19">
        <f t="shared" si="3"/>
        <v>-703.92873483881669</v>
      </c>
      <c r="O27" s="20">
        <f t="shared" si="4"/>
        <v>613.23279741141903</v>
      </c>
      <c r="P27" s="14">
        <f t="shared" si="5"/>
        <v>15805.938387002829</v>
      </c>
      <c r="Q27" s="21">
        <f t="shared" si="26"/>
        <v>1.0000000000000002</v>
      </c>
      <c r="R27" s="14">
        <f t="shared" si="6"/>
        <v>15805.938387002832</v>
      </c>
      <c r="S27" s="15">
        <f t="shared" si="25"/>
        <v>0.43</v>
      </c>
      <c r="T27" s="8">
        <f t="shared" si="7"/>
        <v>566.37945886760156</v>
      </c>
      <c r="U27" s="8">
        <f t="shared" si="8"/>
        <v>750.78207338263417</v>
      </c>
      <c r="V27" s="22">
        <f t="shared" si="9"/>
        <v>349.5426945245087</v>
      </c>
      <c r="W27" s="14">
        <f t="shared" si="10"/>
        <v>1317.1615322502357</v>
      </c>
      <c r="X27" s="14">
        <f t="shared" si="11"/>
        <v>703.92873483881669</v>
      </c>
      <c r="Y27" s="14">
        <f t="shared" si="12"/>
        <v>613.23279741141903</v>
      </c>
      <c r="Z27" s="14">
        <f t="shared" si="22"/>
        <v>550.17971454645328</v>
      </c>
      <c r="AA27" s="14">
        <f t="shared" si="23"/>
        <v>327.57303918318974</v>
      </c>
      <c r="AB27" s="14">
        <v>0</v>
      </c>
      <c r="AC27" s="23">
        <f t="shared" si="13"/>
        <v>0.98231827111984282</v>
      </c>
      <c r="AD27" s="17">
        <f>AD26*(100%+AD2)</f>
        <v>-2.7131349701612646E-2</v>
      </c>
      <c r="AE27" s="21">
        <f>SUM(AD4:AD27)</f>
        <v>-0.53442855534675882</v>
      </c>
      <c r="AF27">
        <f t="shared" si="24"/>
        <v>24</v>
      </c>
      <c r="AG27" s="24"/>
      <c r="AH27" s="24"/>
    </row>
    <row r="28" spans="1:34" ht="18" customHeight="1" x14ac:dyDescent="0.3">
      <c r="A28" s="25">
        <f t="shared" si="14"/>
        <v>2035</v>
      </c>
      <c r="B28" s="25">
        <f t="shared" si="15"/>
        <v>25</v>
      </c>
      <c r="C28" s="26">
        <f t="shared" si="16"/>
        <v>16596.23530635297</v>
      </c>
      <c r="D28" s="27">
        <f t="shared" si="17"/>
        <v>0.05</v>
      </c>
      <c r="E28" s="38">
        <f t="shared" si="18"/>
        <v>245601.74143341207</v>
      </c>
      <c r="F28" s="28">
        <f t="shared" si="19"/>
        <v>2.8000000000000001E-2</v>
      </c>
      <c r="G28" s="29">
        <f t="shared" si="0"/>
        <v>6876.8487601355382</v>
      </c>
      <c r="H28" s="39">
        <f>SUM(G4:G28)</f>
        <v>72370.383962846259</v>
      </c>
      <c r="I28" s="39">
        <f t="shared" si="1"/>
        <v>317972.12539625831</v>
      </c>
      <c r="J28" s="40">
        <v>302.76</v>
      </c>
      <c r="K28" s="29">
        <f>(I28/10000)*J28</f>
        <v>9626.9240684971173</v>
      </c>
      <c r="L28" s="41">
        <f>K28/12</f>
        <v>802.24367237475974</v>
      </c>
      <c r="M28" s="39">
        <f t="shared" si="2"/>
        <v>1383.0196088627474</v>
      </c>
      <c r="N28" s="31">
        <f t="shared" si="3"/>
        <v>-777.32377762874057</v>
      </c>
      <c r="O28" s="42">
        <f t="shared" si="4"/>
        <v>605.69583123400685</v>
      </c>
      <c r="P28" s="29">
        <f t="shared" si="5"/>
        <v>16596.23530635297</v>
      </c>
      <c r="Q28" s="33">
        <f t="shared" si="26"/>
        <v>1.0000000000000002</v>
      </c>
      <c r="R28" s="39">
        <f t="shared" si="6"/>
        <v>16596.235306352974</v>
      </c>
      <c r="S28" s="34">
        <f t="shared" si="25"/>
        <v>0.43</v>
      </c>
      <c r="T28" s="26">
        <f t="shared" si="7"/>
        <v>594.69843181098156</v>
      </c>
      <c r="U28" s="26">
        <f t="shared" si="8"/>
        <v>788.32117705176586</v>
      </c>
      <c r="V28" s="43">
        <f t="shared" si="9"/>
        <v>345.24662380338384</v>
      </c>
      <c r="W28" s="29">
        <f t="shared" si="10"/>
        <v>1383.0196088627474</v>
      </c>
      <c r="X28" s="29">
        <f t="shared" si="11"/>
        <v>777.32377762874057</v>
      </c>
      <c r="Y28" s="29">
        <f t="shared" si="12"/>
        <v>605.69583123400685</v>
      </c>
      <c r="Z28" s="42">
        <f t="shared" si="22"/>
        <v>550.17971454645328</v>
      </c>
      <c r="AA28" s="42">
        <f t="shared" si="23"/>
        <v>327.57303918318974</v>
      </c>
      <c r="AB28" s="29">
        <f>L32</f>
        <v>351.34400472515296</v>
      </c>
      <c r="AC28" s="36">
        <f>AC27</f>
        <v>0.98231827111984282</v>
      </c>
      <c r="AD28" s="37">
        <f>AD27*(100%+AD2)</f>
        <v>-2.7619713996241673E-2</v>
      </c>
      <c r="AE28" s="37">
        <f>SUM(AD4:AD28)</f>
        <v>-0.56204826934300045</v>
      </c>
      <c r="AF28" s="30">
        <f t="shared" si="24"/>
        <v>25</v>
      </c>
      <c r="AG28" s="24"/>
      <c r="AH28" s="24"/>
    </row>
    <row r="29" spans="1:34" ht="4.9000000000000004" customHeight="1" x14ac:dyDescent="0.25">
      <c r="A29" s="11"/>
      <c r="B29" s="11"/>
      <c r="C29" s="8"/>
      <c r="D29" s="12"/>
      <c r="F29" s="13"/>
      <c r="G29" s="14"/>
      <c r="H29" s="14"/>
      <c r="I29" s="14"/>
      <c r="M29" s="14"/>
      <c r="N29" s="19"/>
      <c r="O29" s="14"/>
      <c r="P29" s="14"/>
      <c r="Q29" s="14"/>
      <c r="R29" s="14"/>
      <c r="S29" s="14"/>
      <c r="T29" s="8"/>
      <c r="U29" s="14"/>
      <c r="V29" s="14"/>
      <c r="W29" s="14"/>
      <c r="X29" s="14"/>
      <c r="Y29" s="14"/>
      <c r="Z29" s="14"/>
      <c r="AA29" s="14"/>
      <c r="AB29" s="14"/>
      <c r="AC29" s="14"/>
      <c r="AD29" s="17" t="s">
        <v>30</v>
      </c>
    </row>
    <row r="30" spans="1:34" s="45" customFormat="1" ht="75" customHeight="1" x14ac:dyDescent="0.25">
      <c r="A30" s="44" t="s">
        <v>0</v>
      </c>
      <c r="B30" s="44" t="s">
        <v>1</v>
      </c>
      <c r="C30" s="45" t="s">
        <v>31</v>
      </c>
      <c r="D30" s="44" t="s">
        <v>32</v>
      </c>
      <c r="E30" s="46" t="s">
        <v>33</v>
      </c>
      <c r="F30" s="45" t="s">
        <v>5</v>
      </c>
      <c r="G30" s="45" t="s">
        <v>6</v>
      </c>
      <c r="H30" s="47" t="s">
        <v>7</v>
      </c>
      <c r="I30" s="45" t="s">
        <v>8</v>
      </c>
      <c r="J30" s="47" t="s">
        <v>9</v>
      </c>
      <c r="K30" s="45" t="s">
        <v>10</v>
      </c>
      <c r="L30" s="47" t="s">
        <v>34</v>
      </c>
      <c r="M30" s="47" t="s">
        <v>35</v>
      </c>
      <c r="N30" s="47"/>
      <c r="O30" s="47" t="s">
        <v>36</v>
      </c>
      <c r="P30" s="47"/>
      <c r="Q30" s="47"/>
      <c r="R30" s="48" t="s">
        <v>30</v>
      </c>
      <c r="S30" s="47"/>
      <c r="T30" s="46"/>
      <c r="U30" s="47" t="s">
        <v>30</v>
      </c>
      <c r="V30" s="47" t="s">
        <v>37</v>
      </c>
      <c r="W30" s="47"/>
      <c r="X30" s="47"/>
      <c r="Y30" s="47"/>
      <c r="Z30" s="47"/>
      <c r="AA30" s="47"/>
      <c r="AB30" s="47"/>
      <c r="AC30" s="47"/>
    </row>
    <row r="31" spans="1:34" ht="4.9000000000000004" customHeight="1" x14ac:dyDescent="0.25">
      <c r="A31" s="11"/>
      <c r="B31" s="11"/>
      <c r="C31" s="8"/>
      <c r="D31" s="12"/>
      <c r="F31" s="13"/>
      <c r="G31" s="14"/>
      <c r="H31" s="14"/>
      <c r="I31" s="14"/>
      <c r="M31" s="14"/>
      <c r="N31" s="1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7"/>
    </row>
    <row r="32" spans="1:34" ht="18" customHeight="1" x14ac:dyDescent="0.3">
      <c r="A32" s="11"/>
      <c r="B32" s="11"/>
      <c r="D32" s="12"/>
      <c r="L32" s="49">
        <f>L28*(100%+AE28)</f>
        <v>351.34400472515296</v>
      </c>
      <c r="M32" s="49">
        <f>SUM(M4:M28)/B28</f>
        <v>818.67247144470707</v>
      </c>
      <c r="O32" s="49">
        <f>SUM(O4:O28)/B28</f>
        <v>550.17971454645328</v>
      </c>
      <c r="P32" s="49"/>
      <c r="Q32" s="49"/>
      <c r="R32" s="49"/>
      <c r="S32" s="49"/>
      <c r="T32" s="49"/>
      <c r="U32" s="49" t="s">
        <v>30</v>
      </c>
      <c r="V32" s="49">
        <f>SUM(V4:V28)/B28</f>
        <v>327.57303918318974</v>
      </c>
      <c r="W32" s="49"/>
      <c r="X32" s="49"/>
      <c r="Y32" s="49"/>
      <c r="Z32" s="49"/>
      <c r="AA32" s="49"/>
      <c r="AB32" s="49"/>
      <c r="AC32" s="49"/>
      <c r="AD32" s="21" t="s">
        <v>30</v>
      </c>
    </row>
    <row r="33" spans="1:33" ht="22.5" x14ac:dyDescent="0.25">
      <c r="B33" s="11"/>
      <c r="C33" s="50" t="s">
        <v>38</v>
      </c>
      <c r="D33" s="50" t="s">
        <v>39</v>
      </c>
      <c r="E33" s="50" t="s">
        <v>4</v>
      </c>
      <c r="L33" s="14" t="s">
        <v>30</v>
      </c>
      <c r="V33" s="24" t="s">
        <v>30</v>
      </c>
    </row>
    <row r="34" spans="1:33" x14ac:dyDescent="0.25">
      <c r="B34" s="11"/>
      <c r="C34" s="8"/>
      <c r="E34" s="38">
        <f>E28</f>
        <v>245601.74143341207</v>
      </c>
      <c r="L34" s="14" t="s">
        <v>30</v>
      </c>
      <c r="V34" s="24" t="s">
        <v>30</v>
      </c>
      <c r="AG34" s="14"/>
    </row>
    <row r="35" spans="1:33" x14ac:dyDescent="0.25">
      <c r="B35" s="11"/>
      <c r="C35" s="8"/>
      <c r="D35" s="38">
        <f>SUM(T4:T28)*12</f>
        <v>100868.29365990884</v>
      </c>
      <c r="AE35" s="52"/>
      <c r="AG35" s="14"/>
    </row>
    <row r="36" spans="1:33" x14ac:dyDescent="0.25">
      <c r="A36" s="11"/>
      <c r="B36" s="11"/>
      <c r="C36" s="38">
        <f>E28-D35</f>
        <v>144733.44777350323</v>
      </c>
      <c r="D36" s="12"/>
      <c r="AE36" s="52"/>
      <c r="AG36" s="14"/>
    </row>
    <row r="37" spans="1:33" x14ac:dyDescent="0.25">
      <c r="A37" s="11"/>
      <c r="B37" s="11"/>
      <c r="D37" s="12"/>
      <c r="AG37" s="14"/>
    </row>
    <row r="38" spans="1:33" x14ac:dyDescent="0.25">
      <c r="A38" s="11"/>
      <c r="B38" s="11"/>
      <c r="D38" s="12"/>
      <c r="AG38" s="14"/>
    </row>
    <row r="39" spans="1:33" x14ac:dyDescent="0.25">
      <c r="A39" s="11"/>
      <c r="B39" s="11"/>
      <c r="D39" s="12"/>
      <c r="AG39" s="14"/>
    </row>
    <row r="40" spans="1:33" x14ac:dyDescent="0.25">
      <c r="A40" s="11"/>
      <c r="B40" s="11"/>
      <c r="D40" s="12"/>
      <c r="AG40" s="14"/>
    </row>
    <row r="41" spans="1:33" x14ac:dyDescent="0.25">
      <c r="A41" s="11"/>
      <c r="B41" s="11"/>
      <c r="D41" s="12"/>
      <c r="AG41" s="14"/>
    </row>
    <row r="42" spans="1:33" x14ac:dyDescent="0.25">
      <c r="A42" s="11"/>
      <c r="B42" s="11"/>
      <c r="D42" s="12"/>
      <c r="AG42" s="14"/>
    </row>
    <row r="43" spans="1:33" x14ac:dyDescent="0.25">
      <c r="A43" s="11"/>
      <c r="B43" s="11"/>
      <c r="D43" s="12"/>
      <c r="AG43" s="14"/>
    </row>
    <row r="44" spans="1:33" x14ac:dyDescent="0.25">
      <c r="A44" s="11"/>
      <c r="B44" s="11"/>
      <c r="D44" s="12"/>
      <c r="M44" s="53"/>
      <c r="N44" s="2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E44" s="8"/>
      <c r="AG44" s="14"/>
    </row>
    <row r="45" spans="1:33" x14ac:dyDescent="0.25">
      <c r="A45" s="11"/>
      <c r="B45" s="11"/>
      <c r="D45" s="12"/>
      <c r="N45" s="2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E45" s="8"/>
      <c r="AG45" s="14"/>
    </row>
    <row r="46" spans="1:33" x14ac:dyDescent="0.25">
      <c r="A46" s="11"/>
      <c r="B46" s="11"/>
      <c r="D46" s="12"/>
      <c r="N46" s="1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E46" s="14"/>
    </row>
    <row r="47" spans="1:33" x14ac:dyDescent="0.25">
      <c r="A47" s="11"/>
      <c r="B47" s="11"/>
      <c r="D47" s="12"/>
      <c r="N47" s="17"/>
      <c r="AE47" s="14"/>
      <c r="AG47" s="14"/>
    </row>
    <row r="48" spans="1:33" x14ac:dyDescent="0.25">
      <c r="A48" s="11"/>
      <c r="B48" s="11"/>
      <c r="D48" s="12"/>
      <c r="N48" s="17"/>
      <c r="AE48" s="14"/>
      <c r="AG48" s="24"/>
    </row>
    <row r="49" spans="1:14" x14ac:dyDescent="0.25">
      <c r="A49" s="11"/>
      <c r="B49" s="11"/>
      <c r="D49" s="12"/>
      <c r="N49" s="17"/>
    </row>
    <row r="50" spans="1:14" x14ac:dyDescent="0.25">
      <c r="A50" s="11"/>
      <c r="B50" s="11"/>
      <c r="D50" s="12"/>
    </row>
    <row r="51" spans="1:14" x14ac:dyDescent="0.25">
      <c r="A51" s="11"/>
      <c r="B51" s="11"/>
      <c r="D51" s="12"/>
    </row>
    <row r="52" spans="1:14" x14ac:dyDescent="0.25">
      <c r="A52" s="11"/>
      <c r="B52" s="11"/>
      <c r="D52" s="12"/>
    </row>
    <row r="53" spans="1:14" x14ac:dyDescent="0.25">
      <c r="A53" s="11"/>
      <c r="B53" s="11"/>
      <c r="D53" s="12"/>
    </row>
    <row r="54" spans="1:14" x14ac:dyDescent="0.25">
      <c r="A54" s="11"/>
      <c r="B54" s="11"/>
      <c r="D54" s="12"/>
    </row>
    <row r="55" spans="1:14" x14ac:dyDescent="0.25">
      <c r="A55" s="11"/>
      <c r="B55" s="11"/>
      <c r="D55" s="12"/>
    </row>
    <row r="56" spans="1:14" x14ac:dyDescent="0.25">
      <c r="A56" s="11"/>
      <c r="B56" s="11"/>
      <c r="D56" s="12"/>
    </row>
    <row r="57" spans="1:14" x14ac:dyDescent="0.25">
      <c r="A57" s="11"/>
      <c r="B57" s="11"/>
      <c r="D57" s="12"/>
    </row>
    <row r="58" spans="1:14" x14ac:dyDescent="0.25">
      <c r="A58" s="11"/>
      <c r="B58" s="11"/>
      <c r="D58" s="12"/>
    </row>
    <row r="59" spans="1:14" x14ac:dyDescent="0.25">
      <c r="A59" s="11"/>
      <c r="B59" s="11"/>
      <c r="D59" s="12"/>
    </row>
    <row r="60" spans="1:14" x14ac:dyDescent="0.25">
      <c r="A60" s="11"/>
      <c r="B60" s="11"/>
      <c r="D60" s="12"/>
    </row>
    <row r="61" spans="1:14" x14ac:dyDescent="0.25">
      <c r="A61" s="11"/>
      <c r="B61" s="11"/>
      <c r="D61" s="12"/>
    </row>
    <row r="62" spans="1:14" x14ac:dyDescent="0.25">
      <c r="A62" s="11"/>
      <c r="B62" s="11"/>
      <c r="D62" s="12"/>
    </row>
    <row r="63" spans="1:14" x14ac:dyDescent="0.25">
      <c r="A63" s="11"/>
      <c r="B63" s="11"/>
      <c r="D63" s="12"/>
    </row>
    <row r="64" spans="1:14" x14ac:dyDescent="0.25">
      <c r="A64" s="11"/>
      <c r="B64" s="11"/>
      <c r="D64" s="12"/>
    </row>
    <row r="65" spans="1:4" x14ac:dyDescent="0.25">
      <c r="A65" s="11"/>
      <c r="B65" s="11"/>
      <c r="D65" s="12"/>
    </row>
    <row r="66" spans="1:4" x14ac:dyDescent="0.25">
      <c r="A66" s="11"/>
      <c r="B66" s="11"/>
      <c r="D66" s="12"/>
    </row>
    <row r="67" spans="1:4" x14ac:dyDescent="0.25">
      <c r="A67" s="11"/>
      <c r="B67" s="11"/>
      <c r="D67" s="12"/>
    </row>
    <row r="68" spans="1:4" x14ac:dyDescent="0.25">
      <c r="A68" s="11"/>
      <c r="B68" s="11"/>
      <c r="D68" s="12"/>
    </row>
    <row r="69" spans="1:4" x14ac:dyDescent="0.25">
      <c r="A69" s="11"/>
      <c r="B69" s="11"/>
      <c r="D69" s="12"/>
    </row>
    <row r="70" spans="1:4" x14ac:dyDescent="0.25">
      <c r="A70" s="11"/>
      <c r="B70" s="11"/>
      <c r="D70" s="12"/>
    </row>
    <row r="71" spans="1:4" x14ac:dyDescent="0.25">
      <c r="A71" s="11"/>
      <c r="B71" s="11"/>
      <c r="D71" s="12"/>
    </row>
    <row r="72" spans="1:4" x14ac:dyDescent="0.25">
      <c r="A72" s="11"/>
      <c r="B72" s="11"/>
      <c r="D72" s="12"/>
    </row>
    <row r="73" spans="1:4" x14ac:dyDescent="0.25">
      <c r="A73" s="11"/>
      <c r="B73" s="11"/>
      <c r="D73" s="12"/>
    </row>
    <row r="74" spans="1:4" x14ac:dyDescent="0.25">
      <c r="A74" s="11"/>
      <c r="B74" s="11"/>
      <c r="D74" s="12"/>
    </row>
    <row r="75" spans="1:4" x14ac:dyDescent="0.25">
      <c r="A75" s="11"/>
      <c r="B75" s="11"/>
      <c r="D75" s="12"/>
    </row>
    <row r="76" spans="1:4" x14ac:dyDescent="0.25">
      <c r="A76" s="11"/>
      <c r="B76" s="11"/>
      <c r="D76" s="12"/>
    </row>
    <row r="77" spans="1:4" x14ac:dyDescent="0.25">
      <c r="A77" s="11"/>
      <c r="B77" s="11"/>
      <c r="D77" s="12"/>
    </row>
    <row r="78" spans="1:4" x14ac:dyDescent="0.25">
      <c r="A78" s="11"/>
      <c r="B78" s="11"/>
      <c r="D78" s="12"/>
    </row>
    <row r="79" spans="1:4" x14ac:dyDescent="0.25">
      <c r="A79" s="11"/>
      <c r="B79" s="11"/>
      <c r="D79" s="12"/>
    </row>
    <row r="80" spans="1:4" x14ac:dyDescent="0.25">
      <c r="A80" s="11"/>
      <c r="B80" s="11"/>
      <c r="D80" s="12"/>
    </row>
    <row r="81" spans="1:4" x14ac:dyDescent="0.25">
      <c r="A81" s="11"/>
      <c r="B81" s="11"/>
      <c r="D81" s="12"/>
    </row>
    <row r="82" spans="1:4" x14ac:dyDescent="0.25">
      <c r="A82" s="11"/>
      <c r="B82" s="11"/>
      <c r="D82" s="12"/>
    </row>
    <row r="83" spans="1:4" x14ac:dyDescent="0.25">
      <c r="A83" s="11"/>
      <c r="B83" s="11"/>
      <c r="D83" s="12"/>
    </row>
    <row r="84" spans="1:4" x14ac:dyDescent="0.25">
      <c r="A84" s="11"/>
    </row>
    <row r="85" spans="1:4" x14ac:dyDescent="0.25">
      <c r="A85" s="11"/>
    </row>
    <row r="86" spans="1:4" x14ac:dyDescent="0.25">
      <c r="A86" s="11"/>
    </row>
    <row r="87" spans="1:4" x14ac:dyDescent="0.25">
      <c r="A87" s="11"/>
    </row>
  </sheetData>
  <sheetProtection password="DB37" sheet="1" objects="1" scenarios="1"/>
  <printOptions horizontalCentered="1" verticalCentered="1"/>
  <pageMargins left="0" right="0" top="0" bottom="0" header="0" footer="0"/>
  <pageSetup paperSize="9" fitToWidth="0" fitToHeight="0" orientation="landscape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2012-05-22T08:29:03Z</cp:lastPrinted>
  <dcterms:created xsi:type="dcterms:W3CDTF">2012-05-17T07:42:10Z</dcterms:created>
  <dcterms:modified xsi:type="dcterms:W3CDTF">2012-11-23T11:46:31Z</dcterms:modified>
</cp:coreProperties>
</file>